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rancielly\Desktop\raio de sol finisa\LICITAR\"/>
    </mc:Choice>
  </mc:AlternateContent>
  <workbookProtection lockStructure="1"/>
  <bookViews>
    <workbookView xWindow="0" yWindow="0" windowWidth="21600" windowHeight="9630" tabRatio="801" activeTab="7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62913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E12" i="13" s="1"/>
  <c r="A12" i="1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1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7" i="11"/>
  <c r="K92" i="4"/>
  <c r="T283" i="5"/>
  <c r="E14" i="13"/>
  <c r="A14" i="11"/>
  <c r="O8" i="5"/>
  <c r="A18" i="11" l="1"/>
  <c r="C3" i="4"/>
  <c r="A19" i="11"/>
  <c r="A20" i="11"/>
  <c r="K131" i="4"/>
  <c r="K90" i="4"/>
  <c r="A16" i="11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AD16" i="5"/>
  <c r="AD17" i="5" s="1"/>
  <c r="E16" i="5"/>
  <c r="B14" i="11" s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E17" i="5"/>
  <c r="E18" i="5" s="1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J20" i="12" l="1"/>
  <c r="K20" i="12" s="1"/>
  <c r="O14" i="5"/>
  <c r="E14" i="6" s="1"/>
  <c r="U109" i="4"/>
  <c r="K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D14" i="12" l="1"/>
  <c r="J112" i="4"/>
  <c r="H22" i="5"/>
  <c r="B22" i="6"/>
  <c r="G22" i="5"/>
  <c r="AD22" i="5"/>
  <c r="F22" i="5"/>
  <c r="M20" i="6"/>
  <c r="AO20" i="6" s="1"/>
  <c r="C23" i="5"/>
  <c r="G23" i="5" s="1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AF20" i="6" l="1"/>
  <c r="AX20" i="6"/>
  <c r="AH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F24" i="5" s="1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L23" i="12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X18" i="12" l="1"/>
  <c r="K24" i="5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K23" i="12"/>
  <c r="AK22" i="6"/>
  <c r="AB20" i="5"/>
  <c r="AA20" i="5"/>
  <c r="C20" i="6"/>
  <c r="O20" i="5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D25" i="5"/>
  <c r="B25" i="12" s="1"/>
  <c r="B25" i="5"/>
  <c r="C26" i="5" s="1"/>
  <c r="R26" i="5" s="1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A21" i="5"/>
  <c r="AB21" i="5"/>
  <c r="C21" i="6"/>
  <c r="O21" i="5"/>
  <c r="B26" i="7"/>
  <c r="C27" i="7"/>
  <c r="E20" i="6"/>
  <c r="D20" i="12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AD26" i="5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V21" i="12" s="1"/>
  <c r="AE27" i="5"/>
  <c r="H27" i="5"/>
  <c r="G27" i="5"/>
  <c r="W27" i="5"/>
  <c r="H27" i="12" s="1"/>
  <c r="F27" i="5"/>
  <c r="E27" i="5"/>
  <c r="C28" i="5"/>
  <c r="N28" i="5" s="1"/>
  <c r="B27" i="6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AA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O23" i="5"/>
  <c r="C29" i="7"/>
  <c r="B28" i="7"/>
  <c r="AK24" i="6"/>
  <c r="AM24" i="5"/>
  <c r="L24" i="5"/>
  <c r="I24" i="12"/>
  <c r="Z24" i="5"/>
  <c r="U21" i="12" l="1"/>
  <c r="T21" i="12"/>
  <c r="AQ25" i="6"/>
  <c r="Y23" i="12"/>
  <c r="W23" i="12" s="1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N27" i="6" s="1"/>
  <c r="AB24" i="5"/>
  <c r="AA24" i="5"/>
  <c r="C24" i="6"/>
  <c r="O24" i="5"/>
  <c r="D23" i="12"/>
  <c r="E23" i="6"/>
  <c r="L25" i="5"/>
  <c r="I25" i="12"/>
  <c r="AM25" i="5"/>
  <c r="Z25" i="5"/>
  <c r="N23" i="12"/>
  <c r="G26" i="12"/>
  <c r="AG26" i="6"/>
  <c r="AB26" i="6"/>
  <c r="F29" i="5" l="1"/>
  <c r="X23" i="12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A25" i="5"/>
  <c r="AB25" i="5"/>
  <c r="C25" i="6"/>
  <c r="O25" i="5"/>
  <c r="G27" i="12"/>
  <c r="U23" i="12"/>
  <c r="V23" i="12"/>
  <c r="T23" i="12"/>
  <c r="C25" i="12"/>
  <c r="M25" i="12"/>
  <c r="AO25" i="12"/>
  <c r="O25" i="12"/>
  <c r="D24" i="12"/>
  <c r="E24" i="6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E25" i="6"/>
  <c r="D25" i="12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H27" i="6"/>
  <c r="H29" i="6"/>
  <c r="T29" i="5" s="1"/>
  <c r="T24" i="12" l="1"/>
  <c r="V24" i="12"/>
  <c r="AZ28" i="6"/>
  <c r="AI28" i="6"/>
  <c r="E31" i="5"/>
  <c r="AD31" i="5"/>
  <c r="G31" i="5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B32" i="7"/>
  <c r="C33" i="7"/>
  <c r="AM28" i="5"/>
  <c r="I28" i="12"/>
  <c r="L28" i="5"/>
  <c r="Z28" i="5"/>
  <c r="U25" i="12"/>
  <c r="T25" i="12"/>
  <c r="V25" i="12"/>
  <c r="W11" i="9"/>
  <c r="X12" i="9"/>
  <c r="C33" i="5" l="1"/>
  <c r="E32" i="5"/>
  <c r="F32" i="5"/>
  <c r="N32" i="5"/>
  <c r="D32" i="6" s="1"/>
  <c r="B32" i="5"/>
  <c r="B33" i="5" s="1"/>
  <c r="AD32" i="5"/>
  <c r="AE32" i="5"/>
  <c r="A32" i="12"/>
  <c r="W32" i="5"/>
  <c r="H32" i="12" s="1"/>
  <c r="H32" i="5"/>
  <c r="G32" i="5"/>
  <c r="G33" i="5" s="1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C28" i="6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AE33" i="5"/>
  <c r="C34" i="5"/>
  <c r="N33" i="5"/>
  <c r="AD33" i="5"/>
  <c r="J33" i="5"/>
  <c r="A33" i="12"/>
  <c r="W33" i="5"/>
  <c r="H33" i="12" s="1"/>
  <c r="K33" i="5"/>
  <c r="D33" i="5"/>
  <c r="B33" i="12" s="1"/>
  <c r="B33" i="6"/>
  <c r="F33" i="5" l="1"/>
  <c r="H33" i="5"/>
  <c r="H34" i="5" s="1"/>
  <c r="E33" i="5"/>
  <c r="E34" i="5" s="1"/>
  <c r="BG30" i="6"/>
  <c r="AU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D33" i="6"/>
  <c r="N34" i="5"/>
  <c r="B34" i="5"/>
  <c r="F34" i="5"/>
  <c r="AE34" i="5"/>
  <c r="G34" i="5"/>
  <c r="J34" i="5"/>
  <c r="A34" i="12"/>
  <c r="D34" i="5"/>
  <c r="B34" i="12" s="1"/>
  <c r="B34" i="6"/>
  <c r="W34" i="5"/>
  <c r="H34" i="12" s="1"/>
  <c r="C35" i="5"/>
  <c r="K34" i="5"/>
  <c r="AD34" i="5"/>
  <c r="H32" i="6"/>
  <c r="T32" i="5" s="1"/>
  <c r="G32" i="12" s="1"/>
  <c r="Y11" i="9"/>
  <c r="Z12" i="9"/>
  <c r="AB29" i="5"/>
  <c r="L33" i="12"/>
  <c r="J33" i="12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8" i="12" l="1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B35" i="7"/>
  <c r="C36" i="7"/>
  <c r="C30" i="12"/>
  <c r="O30" i="12"/>
  <c r="AO30" i="12"/>
  <c r="M30" i="12"/>
  <c r="AM31" i="5"/>
  <c r="L31" i="5"/>
  <c r="I31" i="12"/>
  <c r="Z31" i="5"/>
  <c r="K33" i="12"/>
  <c r="AA12" i="9"/>
  <c r="Z11" i="9"/>
  <c r="U28" i="12"/>
  <c r="V28" i="12"/>
  <c r="T28" i="12"/>
  <c r="B35" i="5"/>
  <c r="C36" i="5" s="1"/>
  <c r="R36" i="5" s="1"/>
  <c r="F35" i="5"/>
  <c r="W35" i="5"/>
  <c r="H35" i="12" s="1"/>
  <c r="D35" i="5"/>
  <c r="B35" i="12" s="1"/>
  <c r="N35" i="5"/>
  <c r="J35" i="5"/>
  <c r="K35" i="5"/>
  <c r="AE35" i="5"/>
  <c r="G35" i="5"/>
  <c r="A35" i="12"/>
  <c r="AD35" i="5"/>
  <c r="B35" i="6"/>
  <c r="H35" i="5"/>
  <c r="E35" i="5"/>
  <c r="N29" i="12"/>
  <c r="AB30" i="5"/>
  <c r="C30" i="6"/>
  <c r="AG32" i="6"/>
  <c r="AE32" i="6"/>
  <c r="AC32" i="6"/>
  <c r="L34" i="12"/>
  <c r="J34" i="12"/>
  <c r="D34" i="6"/>
  <c r="H33" i="6"/>
  <c r="T33" i="5" s="1"/>
  <c r="M33" i="6" l="1"/>
  <c r="BC33" i="6" s="1"/>
  <c r="W29" i="12"/>
  <c r="V29" i="12" s="1"/>
  <c r="AB11" i="10"/>
  <c r="AC12" i="10"/>
  <c r="Y30" i="12"/>
  <c r="W30" i="12" s="1"/>
  <c r="H34" i="6"/>
  <c r="T34" i="5" s="1"/>
  <c r="A34" i="6"/>
  <c r="A36" i="12"/>
  <c r="AD36" i="5"/>
  <c r="N36" i="5"/>
  <c r="B36" i="5"/>
  <c r="F36" i="5"/>
  <c r="E36" i="5"/>
  <c r="W36" i="5"/>
  <c r="H36" i="12" s="1"/>
  <c r="AE36" i="5"/>
  <c r="H36" i="5"/>
  <c r="B36" i="6"/>
  <c r="C37" i="5"/>
  <c r="G36" i="5"/>
  <c r="L35" i="12"/>
  <c r="J35" i="12"/>
  <c r="D35" i="6"/>
  <c r="C31" i="12"/>
  <c r="M31" i="12"/>
  <c r="AO31" i="12"/>
  <c r="O31" i="12"/>
  <c r="G33" i="12"/>
  <c r="X33" i="5"/>
  <c r="K34" i="12"/>
  <c r="AA11" i="9"/>
  <c r="AB12" i="9"/>
  <c r="AB31" i="5"/>
  <c r="C31" i="6"/>
  <c r="N30" i="12"/>
  <c r="B36" i="7"/>
  <c r="C37" i="7"/>
  <c r="AF37" i="5"/>
  <c r="AD33" i="6" l="1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M35" i="6" s="1"/>
  <c r="AG37" i="5"/>
  <c r="S37" i="5"/>
  <c r="F37" i="12" s="1"/>
  <c r="Y31" i="12"/>
  <c r="X31" i="12" s="1"/>
  <c r="AD12" i="10"/>
  <c r="AC11" i="10"/>
  <c r="AC12" i="9"/>
  <c r="AB11" i="9"/>
  <c r="AM33" i="5"/>
  <c r="I33" i="12"/>
  <c r="L33" i="5"/>
  <c r="Z33" i="5"/>
  <c r="C38" i="5"/>
  <c r="AD37" i="5"/>
  <c r="A37" i="12"/>
  <c r="AE37" i="5"/>
  <c r="B37" i="5"/>
  <c r="B37" i="6"/>
  <c r="E37" i="5"/>
  <c r="W37" i="5"/>
  <c r="H37" i="12" s="1"/>
  <c r="R37" i="5"/>
  <c r="N37" i="5"/>
  <c r="F37" i="5"/>
  <c r="G37" i="5"/>
  <c r="H37" i="5"/>
  <c r="D36" i="6"/>
  <c r="B37" i="7"/>
  <c r="C38" i="7"/>
  <c r="T30" i="12"/>
  <c r="V30" i="12"/>
  <c r="U30" i="12"/>
  <c r="H35" i="6"/>
  <c r="T35" i="5" s="1"/>
  <c r="K35" i="12"/>
  <c r="M34" i="6"/>
  <c r="G34" i="12"/>
  <c r="X34" i="5"/>
  <c r="W31" i="12" l="1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D37" i="6"/>
  <c r="D38" i="5"/>
  <c r="B38" i="12" s="1"/>
  <c r="W38" i="5"/>
  <c r="H38" i="12" s="1"/>
  <c r="C39" i="5"/>
  <c r="E38" i="5"/>
  <c r="F38" i="5"/>
  <c r="G38" i="5"/>
  <c r="A38" i="12"/>
  <c r="K38" i="5"/>
  <c r="AE38" i="5"/>
  <c r="H38" i="5"/>
  <c r="B38" i="6"/>
  <c r="N38" i="5"/>
  <c r="J38" i="5"/>
  <c r="B38" i="5"/>
  <c r="AD38" i="5"/>
  <c r="C33" i="6"/>
  <c r="AC11" i="9"/>
  <c r="AD12" i="9"/>
  <c r="AF35" i="6"/>
  <c r="AE35" i="6"/>
  <c r="AI35" i="6"/>
  <c r="AC35" i="6"/>
  <c r="B38" i="7"/>
  <c r="C39" i="7"/>
  <c r="H36" i="6"/>
  <c r="T36" i="5" s="1"/>
  <c r="E37" i="12"/>
  <c r="F37" i="6"/>
  <c r="AB33" i="5"/>
  <c r="C33" i="12"/>
  <c r="M33" i="12"/>
  <c r="AO33" i="12"/>
  <c r="O33" i="12"/>
  <c r="N33" i="12" l="1"/>
  <c r="A37" i="6"/>
  <c r="M37" i="6" s="1"/>
  <c r="AM37" i="6" s="1"/>
  <c r="V31" i="12"/>
  <c r="T31" i="12"/>
  <c r="N36" i="6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C40" i="5"/>
  <c r="W39" i="5"/>
  <c r="H39" i="12" s="1"/>
  <c r="A39" i="12"/>
  <c r="AD39" i="5"/>
  <c r="F39" i="5"/>
  <c r="G39" i="5"/>
  <c r="H39" i="5"/>
  <c r="B39" i="6"/>
  <c r="B39" i="5"/>
  <c r="J39" i="5"/>
  <c r="D39" i="5"/>
  <c r="B39" i="12" s="1"/>
  <c r="K39" i="5"/>
  <c r="AE39" i="5"/>
  <c r="N39" i="5"/>
  <c r="G37" i="6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C40" i="7"/>
  <c r="B39" i="7"/>
  <c r="AE12" i="9"/>
  <c r="AE11" i="9" s="1"/>
  <c r="AD11" i="9"/>
  <c r="C34" i="6"/>
  <c r="C34" i="12"/>
  <c r="O34" i="12"/>
  <c r="M34" i="12"/>
  <c r="AO34" i="12"/>
  <c r="N37" i="6" l="1"/>
  <c r="X33" i="12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B40" i="7"/>
  <c r="C41" i="7"/>
  <c r="AB35" i="5"/>
  <c r="AA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K40" i="5"/>
  <c r="H40" i="5"/>
  <c r="N40" i="5"/>
  <c r="D40" i="5"/>
  <c r="B40" i="12" s="1"/>
  <c r="AE40" i="5"/>
  <c r="J40" i="5"/>
  <c r="AD40" i="5"/>
  <c r="B40" i="6"/>
  <c r="A40" i="12"/>
  <c r="C41" i="5"/>
  <c r="V33" i="12"/>
  <c r="U33" i="12"/>
  <c r="T33" i="12"/>
  <c r="C35" i="6"/>
  <c r="O35" i="5"/>
  <c r="AF37" i="6"/>
  <c r="AJ37" i="6"/>
  <c r="BA37" i="6"/>
  <c r="AI37" i="6"/>
  <c r="BD37" i="6"/>
  <c r="AR37" i="6"/>
  <c r="BC37" i="6"/>
  <c r="AD37" i="6"/>
  <c r="G37" i="12"/>
  <c r="AQ37" i="6"/>
  <c r="AY37" i="6"/>
  <c r="BE37" i="6"/>
  <c r="BF37" i="6"/>
  <c r="AB37" i="6"/>
  <c r="AH37" i="6"/>
  <c r="L39" i="12"/>
  <c r="J39" i="12"/>
  <c r="H38" i="6"/>
  <c r="T38" i="5" s="1"/>
  <c r="N38" i="6" l="1"/>
  <c r="A39" i="6"/>
  <c r="M39" i="6" s="1"/>
  <c r="X34" i="12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E35" i="6"/>
  <c r="D35" i="12"/>
  <c r="J40" i="12"/>
  <c r="L40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N39" i="6" l="1"/>
  <c r="X35" i="12"/>
  <c r="AH39" i="6"/>
  <c r="BD39" i="6"/>
  <c r="K40" i="12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N40" i="6" s="1"/>
  <c r="D41" i="6"/>
  <c r="L41" i="12"/>
  <c r="J41" i="12"/>
  <c r="B42" i="7"/>
  <c r="C43" i="7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V35" i="12"/>
  <c r="T35" i="12"/>
  <c r="U35" i="12"/>
  <c r="A41" i="6" l="1"/>
  <c r="N41" i="6" s="1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B43" i="7"/>
  <c r="C44" i="7"/>
  <c r="L39" i="5"/>
  <c r="I39" i="12"/>
  <c r="AM39" i="5"/>
  <c r="Z39" i="5"/>
  <c r="C38" i="12"/>
  <c r="AO38" i="12"/>
  <c r="O38" i="12"/>
  <c r="M38" i="12"/>
  <c r="C38" i="6"/>
  <c r="K41" i="12"/>
  <c r="H41" i="6"/>
  <c r="T41" i="5" s="1"/>
  <c r="M40" i="6"/>
  <c r="G40" i="12"/>
  <c r="X40" i="5"/>
  <c r="A42" i="6" l="1"/>
  <c r="M42" i="6" s="1"/>
  <c r="AS42" i="6" s="1"/>
  <c r="M41" i="6"/>
  <c r="AP41" i="6" s="1"/>
  <c r="N38" i="12"/>
  <c r="K42" i="12"/>
  <c r="AB39" i="5"/>
  <c r="C39" i="6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Y38" i="12"/>
  <c r="C39" i="12"/>
  <c r="O39" i="12"/>
  <c r="M39" i="12"/>
  <c r="AO39" i="12"/>
  <c r="B44" i="7"/>
  <c r="C45" i="7"/>
  <c r="D43" i="6"/>
  <c r="H42" i="6"/>
  <c r="T42" i="5" s="1"/>
  <c r="F43" i="12" l="1"/>
  <c r="Y39" i="12"/>
  <c r="W39" i="12" s="1"/>
  <c r="N42" i="6"/>
  <c r="AY41" i="6"/>
  <c r="A43" i="6"/>
  <c r="N43" i="6" s="1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2" i="6"/>
  <c r="AB42" i="6"/>
  <c r="AO42" i="6"/>
  <c r="AX42" i="6"/>
  <c r="AF42" i="6"/>
  <c r="AD42" i="6"/>
  <c r="AK42" i="6"/>
  <c r="B45" i="7"/>
  <c r="C46" i="7"/>
  <c r="X38" i="12"/>
  <c r="W38" i="12"/>
  <c r="C40" i="6"/>
  <c r="B45" i="5"/>
  <c r="C46" i="5"/>
  <c r="N45" i="5"/>
  <c r="G45" i="5"/>
  <c r="E45" i="5"/>
  <c r="K45" i="5"/>
  <c r="AE45" i="5"/>
  <c r="H45" i="5"/>
  <c r="D45" i="5"/>
  <c r="B45" i="12" s="1"/>
  <c r="B45" i="6"/>
  <c r="AD45" i="5"/>
  <c r="A45" i="12"/>
  <c r="J45" i="5"/>
  <c r="W45" i="5"/>
  <c r="H45" i="12" s="1"/>
  <c r="F45" i="5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G43" i="6"/>
  <c r="H43" i="6"/>
  <c r="T43" i="5" s="1"/>
  <c r="G43" i="12" s="1"/>
  <c r="I41" i="12"/>
  <c r="L41" i="5"/>
  <c r="AM41" i="5"/>
  <c r="Z41" i="5"/>
  <c r="AB40" i="5"/>
  <c r="C40" i="12"/>
  <c r="AO40" i="12"/>
  <c r="O40" i="12"/>
  <c r="M40" i="12"/>
  <c r="D44" i="6"/>
  <c r="L44" i="12"/>
  <c r="J44" i="12"/>
  <c r="AF46" i="5"/>
  <c r="X39" i="12" l="1"/>
  <c r="M43" i="6"/>
  <c r="AU43" i="6" s="1"/>
  <c r="AG46" i="5"/>
  <c r="S46" i="5"/>
  <c r="F46" i="12" s="1"/>
  <c r="N40" i="12"/>
  <c r="K44" i="12"/>
  <c r="H44" i="6"/>
  <c r="T44" i="5" s="1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R46" i="5"/>
  <c r="AD46" i="5"/>
  <c r="J46" i="5"/>
  <c r="C47" i="5"/>
  <c r="G46" i="5"/>
  <c r="B46" i="6"/>
  <c r="D46" i="5"/>
  <c r="B46" i="12" s="1"/>
  <c r="E46" i="5"/>
  <c r="B46" i="5"/>
  <c r="T38" i="12"/>
  <c r="V38" i="12"/>
  <c r="U38" i="12"/>
  <c r="V39" i="12"/>
  <c r="U39" i="12"/>
  <c r="T39" i="12"/>
  <c r="C47" i="7"/>
  <c r="B46" i="7"/>
  <c r="Y40" i="12"/>
  <c r="C41" i="6"/>
  <c r="I42" i="12"/>
  <c r="L42" i="5"/>
  <c r="AM42" i="5"/>
  <c r="Z42" i="5"/>
  <c r="A44" i="6"/>
  <c r="N44" i="6" s="1"/>
  <c r="L45" i="12"/>
  <c r="J45" i="12"/>
  <c r="D45" i="6"/>
  <c r="AF47" i="5"/>
  <c r="AG43" i="6" l="1"/>
  <c r="AF43" i="6"/>
  <c r="AD43" i="6"/>
  <c r="AK43" i="6"/>
  <c r="AH43" i="6"/>
  <c r="BF43" i="6"/>
  <c r="AN43" i="6"/>
  <c r="AC43" i="6"/>
  <c r="AP43" i="6"/>
  <c r="AM43" i="6"/>
  <c r="BE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S47" i="5"/>
  <c r="F47" i="12" s="1"/>
  <c r="AG47" i="5"/>
  <c r="K45" i="12"/>
  <c r="AB42" i="5"/>
  <c r="C42" i="6"/>
  <c r="X40" i="12"/>
  <c r="W40" i="12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R47" i="5"/>
  <c r="D46" i="6"/>
  <c r="G44" i="12"/>
  <c r="X44" i="5"/>
  <c r="H45" i="6"/>
  <c r="T45" i="5" s="1"/>
  <c r="C42" i="12"/>
  <c r="O42" i="12"/>
  <c r="AO42" i="12"/>
  <c r="M42" i="12"/>
  <c r="E46" i="12"/>
  <c r="F46" i="6"/>
  <c r="J46" i="12"/>
  <c r="L46" i="12"/>
  <c r="A45" i="6"/>
  <c r="N45" i="6" s="1"/>
  <c r="Y41" i="12"/>
  <c r="M44" i="6"/>
  <c r="AJ44" i="6" s="1"/>
  <c r="AF48" i="5"/>
  <c r="AG48" i="5" l="1"/>
  <c r="S48" i="5"/>
  <c r="F48" i="12" s="1"/>
  <c r="K46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G46" i="6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E47" i="12"/>
  <c r="F47" i="6"/>
  <c r="D47" i="6"/>
  <c r="W48" i="5"/>
  <c r="H48" i="12" s="1"/>
  <c r="AE48" i="5"/>
  <c r="N48" i="5"/>
  <c r="AD48" i="5"/>
  <c r="J48" i="5"/>
  <c r="F48" i="5"/>
  <c r="R48" i="5"/>
  <c r="B48" i="6"/>
  <c r="C49" i="5"/>
  <c r="G48" i="5"/>
  <c r="D48" i="5"/>
  <c r="B48" i="12" s="1"/>
  <c r="E48" i="5"/>
  <c r="H48" i="5"/>
  <c r="A48" i="12"/>
  <c r="K48" i="5"/>
  <c r="B48" i="5"/>
  <c r="U40" i="12"/>
  <c r="V40" i="12"/>
  <c r="T40" i="12"/>
  <c r="AF49" i="5"/>
  <c r="AG49" i="5" l="1"/>
  <c r="S49" i="5"/>
  <c r="F49" i="12" s="1"/>
  <c r="AJ45" i="6"/>
  <c r="K47" i="12"/>
  <c r="A47" i="6"/>
  <c r="N47" i="6" s="1"/>
  <c r="AE45" i="6"/>
  <c r="AB45" i="6"/>
  <c r="AC45" i="6"/>
  <c r="X42" i="12"/>
  <c r="W42" i="12"/>
  <c r="B49" i="7"/>
  <c r="C50" i="7"/>
  <c r="N46" i="6"/>
  <c r="M46" i="6"/>
  <c r="AG46" i="6" s="1"/>
  <c r="C44" i="6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R49" i="5"/>
  <c r="F49" i="5"/>
  <c r="B49" i="6"/>
  <c r="K49" i="5"/>
  <c r="J49" i="5"/>
  <c r="C50" i="5"/>
  <c r="AD49" i="5"/>
  <c r="E48" i="12"/>
  <c r="F48" i="6"/>
  <c r="D48" i="6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AM46" i="5"/>
  <c r="I46" i="12"/>
  <c r="L46" i="5"/>
  <c r="Z46" i="5"/>
  <c r="AC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R50" i="5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C45" i="12"/>
  <c r="O45" i="12"/>
  <c r="M45" i="12"/>
  <c r="AO45" i="12"/>
  <c r="Y44" i="12"/>
  <c r="AB46" i="6"/>
  <c r="AC46" i="6"/>
  <c r="G47" i="12"/>
  <c r="X47" i="5"/>
  <c r="G48" i="6"/>
  <c r="H48" i="6"/>
  <c r="T48" i="5" s="1"/>
  <c r="F49" i="6"/>
  <c r="E49" i="12"/>
  <c r="D49" i="6"/>
  <c r="J49" i="12"/>
  <c r="L49" i="12"/>
  <c r="A48" i="6"/>
  <c r="N48" i="6" s="1"/>
  <c r="AF51" i="5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G49" i="6"/>
  <c r="H49" i="6"/>
  <c r="T49" i="5" s="1"/>
  <c r="G48" i="12"/>
  <c r="X48" i="5"/>
  <c r="F51" i="5"/>
  <c r="AD51" i="5"/>
  <c r="K51" i="5"/>
  <c r="E51" i="5"/>
  <c r="B51" i="6"/>
  <c r="J51" i="5"/>
  <c r="AE51" i="5"/>
  <c r="N51" i="5"/>
  <c r="D51" i="5"/>
  <c r="B51" i="12" s="1"/>
  <c r="R51" i="5"/>
  <c r="A51" i="12"/>
  <c r="W51" i="5"/>
  <c r="H51" i="12" s="1"/>
  <c r="H51" i="5"/>
  <c r="G51" i="5"/>
  <c r="B51" i="5"/>
  <c r="C52" i="5" s="1"/>
  <c r="R52" i="5" s="1"/>
  <c r="C46" i="12"/>
  <c r="O46" i="12"/>
  <c r="AO46" i="12"/>
  <c r="M46" i="12"/>
  <c r="K49" i="12"/>
  <c r="A49" i="6"/>
  <c r="M49" i="6" s="1"/>
  <c r="M48" i="6"/>
  <c r="AF48" i="6" s="1"/>
  <c r="I47" i="12"/>
  <c r="AM47" i="5"/>
  <c r="L47" i="5"/>
  <c r="Z47" i="5"/>
  <c r="AC47" i="5"/>
  <c r="W44" i="12"/>
  <c r="X44" i="12"/>
  <c r="C52" i="7"/>
  <c r="B51" i="7"/>
  <c r="E50" i="12"/>
  <c r="F50" i="6"/>
  <c r="J50" i="12"/>
  <c r="L50" i="12"/>
  <c r="D50" i="6"/>
  <c r="AB46" i="5"/>
  <c r="AA46" i="5"/>
  <c r="C46" i="6"/>
  <c r="O46" i="5"/>
  <c r="AF52" i="5"/>
  <c r="W45" i="12" l="1"/>
  <c r="T45" i="12" s="1"/>
  <c r="A50" i="6"/>
  <c r="M50" i="6" s="1"/>
  <c r="BD50" i="6" s="1"/>
  <c r="AG52" i="5"/>
  <c r="S52" i="5"/>
  <c r="F52" i="12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E46" i="6"/>
  <c r="D46" i="12"/>
  <c r="AB47" i="5"/>
  <c r="AA47" i="5"/>
  <c r="N46" i="12"/>
  <c r="J51" i="12"/>
  <c r="L51" i="12"/>
  <c r="E52" i="5"/>
  <c r="A52" i="12"/>
  <c r="AE52" i="5"/>
  <c r="F52" i="5"/>
  <c r="G52" i="5"/>
  <c r="B52" i="5"/>
  <c r="C53" i="5" s="1"/>
  <c r="W52" i="5"/>
  <c r="H52" i="12" s="1"/>
  <c r="N52" i="5"/>
  <c r="H52" i="5"/>
  <c r="B52" i="6"/>
  <c r="AD52" i="5"/>
  <c r="L48" i="5"/>
  <c r="I48" i="12"/>
  <c r="AM48" i="5"/>
  <c r="Z48" i="5"/>
  <c r="AC48" i="5"/>
  <c r="H50" i="6"/>
  <c r="T50" i="5" s="1"/>
  <c r="G50" i="6"/>
  <c r="C53" i="7"/>
  <c r="B52" i="7"/>
  <c r="V44" i="12"/>
  <c r="T44" i="12"/>
  <c r="U44" i="12"/>
  <c r="C47" i="6"/>
  <c r="O47" i="5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AF49" i="6"/>
  <c r="AC49" i="6"/>
  <c r="AH49" i="6"/>
  <c r="N49" i="6"/>
  <c r="AF53" i="5"/>
  <c r="V45" i="12" l="1"/>
  <c r="U45" i="12"/>
  <c r="A51" i="6"/>
  <c r="M51" i="6" s="1"/>
  <c r="AY51" i="6" s="1"/>
  <c r="N50" i="6"/>
  <c r="R53" i="5"/>
  <c r="AN50" i="6"/>
  <c r="AJ50" i="6"/>
  <c r="AH50" i="6"/>
  <c r="AR50" i="6"/>
  <c r="BC50" i="6"/>
  <c r="BF50" i="6"/>
  <c r="AM50" i="6"/>
  <c r="BG50" i="6"/>
  <c r="BA50" i="6"/>
  <c r="AS50" i="6"/>
  <c r="AT50" i="6"/>
  <c r="S53" i="5"/>
  <c r="F53" i="12" s="1"/>
  <c r="AG53" i="5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AA48" i="5"/>
  <c r="C48" i="12"/>
  <c r="AO48" i="12"/>
  <c r="M48" i="12"/>
  <c r="O48" i="12"/>
  <c r="I49" i="12"/>
  <c r="AM49" i="5"/>
  <c r="L49" i="5"/>
  <c r="Z49" i="5"/>
  <c r="AC49" i="5"/>
  <c r="H51" i="6"/>
  <c r="T51" i="5" s="1"/>
  <c r="G51" i="6"/>
  <c r="Y47" i="12"/>
  <c r="E47" i="6"/>
  <c r="D47" i="12"/>
  <c r="C54" i="7"/>
  <c r="B53" i="7"/>
  <c r="AB50" i="6"/>
  <c r="AK50" i="6"/>
  <c r="AD50" i="6"/>
  <c r="AE50" i="6"/>
  <c r="AF50" i="6"/>
  <c r="C48" i="6"/>
  <c r="O48" i="5"/>
  <c r="D52" i="6"/>
  <c r="E52" i="12"/>
  <c r="F52" i="6"/>
  <c r="N51" i="6" l="1"/>
  <c r="BA51" i="6"/>
  <c r="AZ51" i="6"/>
  <c r="AF51" i="6"/>
  <c r="AU51" i="6"/>
  <c r="AS51" i="6"/>
  <c r="AQ51" i="6"/>
  <c r="N48" i="12"/>
  <c r="AP51" i="6"/>
  <c r="BG51" i="6"/>
  <c r="AV51" i="6"/>
  <c r="AO51" i="6"/>
  <c r="BC51" i="6"/>
  <c r="BE51" i="6"/>
  <c r="BB51" i="6"/>
  <c r="BF51" i="6"/>
  <c r="BD51" i="6"/>
  <c r="AC51" i="6"/>
  <c r="AM51" i="6"/>
  <c r="AT51" i="6"/>
  <c r="AR51" i="6"/>
  <c r="AH51" i="6"/>
  <c r="AX51" i="6"/>
  <c r="AN51" i="6"/>
  <c r="G52" i="6"/>
  <c r="H52" i="6"/>
  <c r="T52" i="5" s="1"/>
  <c r="W47" i="12"/>
  <c r="X47" i="12"/>
  <c r="G51" i="12"/>
  <c r="X51" i="5"/>
  <c r="C49" i="6"/>
  <c r="O49" i="5"/>
  <c r="C49" i="12"/>
  <c r="M49" i="12"/>
  <c r="AO49" i="12"/>
  <c r="O49" i="12"/>
  <c r="Y48" i="12"/>
  <c r="L50" i="5"/>
  <c r="I50" i="12"/>
  <c r="AM50" i="5"/>
  <c r="Z50" i="5"/>
  <c r="AC50" i="5"/>
  <c r="U46" i="12"/>
  <c r="V46" i="12"/>
  <c r="T46" i="12"/>
  <c r="D53" i="6"/>
  <c r="F53" i="6"/>
  <c r="E53" i="12"/>
  <c r="D48" i="12"/>
  <c r="E48" i="6"/>
  <c r="C55" i="7"/>
  <c r="B54" i="7"/>
  <c r="AD51" i="6"/>
  <c r="AB51" i="6"/>
  <c r="AK51" i="6"/>
  <c r="AI51" i="6"/>
  <c r="AE51" i="6"/>
  <c r="AJ51" i="6"/>
  <c r="AG51" i="6"/>
  <c r="AB49" i="5"/>
  <c r="AA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53" i="6" l="1"/>
  <c r="N53" i="6" s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G53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N52" i="6"/>
  <c r="D54" i="6"/>
  <c r="J54" i="12"/>
  <c r="L54" i="12"/>
  <c r="B55" i="7"/>
  <c r="C56" i="7"/>
  <c r="C50" i="6"/>
  <c r="O50" i="5"/>
  <c r="E49" i="6"/>
  <c r="D49" i="12"/>
  <c r="AM51" i="5"/>
  <c r="L51" i="5"/>
  <c r="I51" i="12"/>
  <c r="Z51" i="5"/>
  <c r="AC51" i="5"/>
  <c r="G52" i="12"/>
  <c r="AC52" i="6"/>
  <c r="AJ52" i="6"/>
  <c r="M53" i="6" l="1"/>
  <c r="AX53" i="6" s="1"/>
  <c r="W49" i="12"/>
  <c r="U49" i="12" s="1"/>
  <c r="Y50" i="12"/>
  <c r="X50" i="12" s="1"/>
  <c r="N50" i="12"/>
  <c r="K54" i="12"/>
  <c r="AB51" i="5"/>
  <c r="AA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B56" i="5"/>
  <c r="C51" i="6"/>
  <c r="O51" i="5"/>
  <c r="E50" i="6"/>
  <c r="D50" i="12"/>
  <c r="C57" i="7"/>
  <c r="B56" i="7"/>
  <c r="H54" i="6"/>
  <c r="T54" i="5" s="1"/>
  <c r="V48" i="12"/>
  <c r="T48" i="12"/>
  <c r="U48" i="12"/>
  <c r="D55" i="6"/>
  <c r="A54" i="6"/>
  <c r="N54" i="6" s="1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K55" i="12"/>
  <c r="H55" i="6"/>
  <c r="T55" i="5" s="1"/>
  <c r="G54" i="12"/>
  <c r="X54" i="5"/>
  <c r="M54" i="6"/>
  <c r="AH54" i="6" s="1"/>
  <c r="B57" i="7"/>
  <c r="C58" i="7"/>
  <c r="J56" i="12"/>
  <c r="L56" i="12"/>
  <c r="D56" i="6"/>
  <c r="A55" i="6"/>
  <c r="N55" i="6" s="1"/>
  <c r="D51" i="12"/>
  <c r="E51" i="6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N51" i="12"/>
  <c r="V50" i="12" l="1"/>
  <c r="T50" i="12"/>
  <c r="X51" i="12"/>
  <c r="AG54" i="6"/>
  <c r="A56" i="6"/>
  <c r="M56" i="6" s="1"/>
  <c r="K56" i="12"/>
  <c r="AE54" i="6"/>
  <c r="D57" i="6"/>
  <c r="H56" i="6"/>
  <c r="T56" i="5" s="1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J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U51" i="12"/>
  <c r="T51" i="12"/>
  <c r="V51" i="12"/>
  <c r="AI54" i="6"/>
  <c r="AK54" i="6"/>
  <c r="M55" i="6"/>
  <c r="AH55" i="6" s="1"/>
  <c r="A57" i="6" l="1"/>
  <c r="N57" i="6" s="1"/>
  <c r="N56" i="6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B59" i="7"/>
  <c r="C60" i="7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AM55" i="5"/>
  <c r="I55" i="12"/>
  <c r="L55" i="5"/>
  <c r="Z55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AF60" i="5"/>
  <c r="M57" i="6" l="1"/>
  <c r="AM57" i="6" s="1"/>
  <c r="AG60" i="5"/>
  <c r="S60" i="5"/>
  <c r="F60" i="12" s="1"/>
  <c r="Y54" i="12"/>
  <c r="X54" i="12" s="1"/>
  <c r="L56" i="5"/>
  <c r="I56" i="12"/>
  <c r="AM56" i="5"/>
  <c r="Z56" i="5"/>
  <c r="C55" i="12"/>
  <c r="AO55" i="12"/>
  <c r="M55" i="12"/>
  <c r="O55" i="12"/>
  <c r="C61" i="7"/>
  <c r="B60" i="7"/>
  <c r="J59" i="12"/>
  <c r="L59" i="12"/>
  <c r="G57" i="12"/>
  <c r="X57" i="5"/>
  <c r="N54" i="12"/>
  <c r="AB55" i="5"/>
  <c r="C55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N58" i="6" s="1"/>
  <c r="AF61" i="5"/>
  <c r="BC57" i="6" l="1"/>
  <c r="AS57" i="6"/>
  <c r="AZ57" i="6"/>
  <c r="AP57" i="6"/>
  <c r="AD57" i="6"/>
  <c r="AX57" i="6"/>
  <c r="BG57" i="6"/>
  <c r="AH57" i="6"/>
  <c r="AG57" i="6"/>
  <c r="BD57" i="6"/>
  <c r="AT57" i="6"/>
  <c r="AV57" i="6"/>
  <c r="AF57" i="6"/>
  <c r="AN57" i="6"/>
  <c r="AB57" i="6"/>
  <c r="AI57" i="6"/>
  <c r="AY57" i="6"/>
  <c r="BF57" i="6"/>
  <c r="BE57" i="6"/>
  <c r="AU57" i="6"/>
  <c r="BB57" i="6"/>
  <c r="AE57" i="6"/>
  <c r="AJ57" i="6"/>
  <c r="AK57" i="6"/>
  <c r="BA57" i="6"/>
  <c r="AC57" i="6"/>
  <c r="AQ57" i="6"/>
  <c r="AO57" i="6"/>
  <c r="AR57" i="6"/>
  <c r="W54" i="12"/>
  <c r="V54" i="12" s="1"/>
  <c r="AG61" i="5"/>
  <c r="S61" i="5"/>
  <c r="F61" i="12" s="1"/>
  <c r="N55" i="12"/>
  <c r="E60" i="12"/>
  <c r="F60" i="6"/>
  <c r="L60" i="12"/>
  <c r="J60" i="12"/>
  <c r="M58" i="6"/>
  <c r="AM57" i="5"/>
  <c r="I57" i="12"/>
  <c r="L57" i="5"/>
  <c r="Z57" i="5"/>
  <c r="C62" i="7"/>
  <c r="B61" i="7"/>
  <c r="Y55" i="12"/>
  <c r="AB56" i="5"/>
  <c r="C56" i="12"/>
  <c r="M56" i="12"/>
  <c r="O56" i="12"/>
  <c r="AO56" i="12"/>
  <c r="H59" i="6"/>
  <c r="T59" i="5" s="1"/>
  <c r="A59" i="6"/>
  <c r="M59" i="6" s="1"/>
  <c r="D60" i="6"/>
  <c r="D61" i="5"/>
  <c r="B61" i="12" s="1"/>
  <c r="AD61" i="5"/>
  <c r="R61" i="5"/>
  <c r="A61" i="12"/>
  <c r="B61" i="5"/>
  <c r="C62" i="5" s="1"/>
  <c r="R62" i="5" s="1"/>
  <c r="G61" i="5"/>
  <c r="J61" i="5"/>
  <c r="K61" i="5"/>
  <c r="E61" i="5"/>
  <c r="N61" i="5"/>
  <c r="W61" i="5"/>
  <c r="H61" i="12" s="1"/>
  <c r="H61" i="5"/>
  <c r="B61" i="6"/>
  <c r="AE61" i="5"/>
  <c r="F61" i="5"/>
  <c r="G58" i="12"/>
  <c r="X58" i="5"/>
  <c r="K59" i="12"/>
  <c r="C56" i="6"/>
  <c r="AF62" i="5"/>
  <c r="T54" i="12" l="1"/>
  <c r="U54" i="12"/>
  <c r="Y56" i="12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L58" i="5"/>
  <c r="I58" i="12"/>
  <c r="AM58" i="5"/>
  <c r="Z58" i="5"/>
  <c r="A62" i="12"/>
  <c r="B62" i="6"/>
  <c r="AD62" i="5"/>
  <c r="N62" i="5"/>
  <c r="W62" i="5"/>
  <c r="H62" i="12" s="1"/>
  <c r="AE62" i="5"/>
  <c r="F62" i="5"/>
  <c r="B62" i="5"/>
  <c r="G62" i="5"/>
  <c r="C63" i="5"/>
  <c r="H62" i="5"/>
  <c r="E62" i="5"/>
  <c r="J61" i="12"/>
  <c r="L61" i="12"/>
  <c r="H60" i="6"/>
  <c r="T60" i="5" s="1"/>
  <c r="G60" i="6"/>
  <c r="A60" i="6"/>
  <c r="N60" i="6" s="1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9" i="6"/>
  <c r="N56" i="12"/>
  <c r="W55" i="12"/>
  <c r="X55" i="12"/>
  <c r="C63" i="7"/>
  <c r="B62" i="7"/>
  <c r="AB57" i="5"/>
  <c r="C57" i="6"/>
  <c r="K60" i="12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AB58" i="5"/>
  <c r="C58" i="6"/>
  <c r="A61" i="6"/>
  <c r="M61" i="6" s="1"/>
  <c r="N57" i="12"/>
  <c r="I59" i="12"/>
  <c r="AM59" i="5"/>
  <c r="L59" i="5"/>
  <c r="Z59" i="5"/>
  <c r="G60" i="12"/>
  <c r="X60" i="5"/>
  <c r="K61" i="12"/>
  <c r="W63" i="5"/>
  <c r="H63" i="12" s="1"/>
  <c r="A63" i="12"/>
  <c r="F63" i="5"/>
  <c r="B63" i="6"/>
  <c r="B63" i="5"/>
  <c r="N63" i="5"/>
  <c r="E63" i="5"/>
  <c r="H63" i="5"/>
  <c r="R63" i="5"/>
  <c r="C64" i="5"/>
  <c r="G63" i="5"/>
  <c r="AD63" i="5"/>
  <c r="AE63" i="5"/>
  <c r="E62" i="12"/>
  <c r="F62" i="6"/>
  <c r="C58" i="12"/>
  <c r="AO58" i="12"/>
  <c r="M58" i="12"/>
  <c r="O58" i="12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N62" i="6" s="1"/>
  <c r="G62" i="6"/>
  <c r="H62" i="6"/>
  <c r="T62" i="5" s="1"/>
  <c r="V57" i="12"/>
  <c r="U57" i="12"/>
  <c r="T57" i="12"/>
  <c r="N61" i="6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F63" i="6"/>
  <c r="E63" i="12"/>
  <c r="AB59" i="5"/>
  <c r="C59" i="6"/>
  <c r="C59" i="12"/>
  <c r="M59" i="12"/>
  <c r="O59" i="12"/>
  <c r="AO59" i="12"/>
  <c r="AE61" i="6"/>
  <c r="AB61" i="6"/>
  <c r="AK61" i="6"/>
  <c r="AH61" i="6"/>
  <c r="M62" i="6" l="1"/>
  <c r="AZ62" i="6" s="1"/>
  <c r="N59" i="12"/>
  <c r="A63" i="6"/>
  <c r="N63" i="6" s="1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AA60" i="5"/>
  <c r="AB60" i="5"/>
  <c r="C60" i="12"/>
  <c r="AO60" i="12"/>
  <c r="M60" i="12"/>
  <c r="O60" i="12"/>
  <c r="H63" i="6"/>
  <c r="T63" i="5" s="1"/>
  <c r="G63" i="6"/>
  <c r="Y59" i="12"/>
  <c r="X58" i="12"/>
  <c r="W58" i="12"/>
  <c r="I61" i="12"/>
  <c r="AM61" i="5"/>
  <c r="L61" i="5"/>
  <c r="Z61" i="5"/>
  <c r="AC61" i="5"/>
  <c r="C60" i="6"/>
  <c r="O60" i="5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BF63" i="6"/>
  <c r="K64" i="12"/>
  <c r="AB61" i="5"/>
  <c r="AA61" i="5"/>
  <c r="T58" i="12"/>
  <c r="V58" i="12"/>
  <c r="U58" i="12"/>
  <c r="W59" i="12"/>
  <c r="X59" i="12"/>
  <c r="G63" i="12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H64" i="6"/>
  <c r="T64" i="5" s="1"/>
  <c r="L65" i="12"/>
  <c r="J65" i="12"/>
  <c r="A64" i="6"/>
  <c r="F65" i="12" l="1"/>
  <c r="M64" i="6"/>
  <c r="AY64" i="6" s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G64" i="12"/>
  <c r="X64" i="5"/>
  <c r="W60" i="12"/>
  <c r="X60" i="12"/>
  <c r="N61" i="12"/>
  <c r="E61" i="6"/>
  <c r="D61" i="12"/>
  <c r="H65" i="6"/>
  <c r="T65" i="5" s="1"/>
  <c r="G65" i="6"/>
  <c r="A65" i="6"/>
  <c r="N65" i="6" s="1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V59" i="12"/>
  <c r="T59" i="12"/>
  <c r="U59" i="12"/>
  <c r="K65" i="12"/>
  <c r="N64" i="6"/>
  <c r="Y61" i="12"/>
  <c r="D66" i="6"/>
  <c r="AD64" i="6" l="1"/>
  <c r="AE64" i="6"/>
  <c r="AF64" i="6"/>
  <c r="AH64" i="6"/>
  <c r="AI64" i="6"/>
  <c r="BF64" i="6"/>
  <c r="AK64" i="6"/>
  <c r="AP64" i="6"/>
  <c r="BC64" i="6"/>
  <c r="AB64" i="6"/>
  <c r="AV64" i="6"/>
  <c r="BE64" i="6"/>
  <c r="BB64" i="6"/>
  <c r="AU64" i="6"/>
  <c r="AX64" i="6"/>
  <c r="AS64" i="6"/>
  <c r="AT64" i="6"/>
  <c r="BD64" i="6"/>
  <c r="AO64" i="6"/>
  <c r="AJ64" i="6"/>
  <c r="AC64" i="6"/>
  <c r="AQ64" i="6"/>
  <c r="AN64" i="6"/>
  <c r="BG64" i="6"/>
  <c r="AG64" i="6"/>
  <c r="BA64" i="6"/>
  <c r="AZ64" i="6"/>
  <c r="AR64" i="6"/>
  <c r="AM64" i="6"/>
  <c r="A66" i="6"/>
  <c r="N66" i="6" s="1"/>
  <c r="M65" i="6"/>
  <c r="AD65" i="6" s="1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W61" i="12"/>
  <c r="X61" i="12"/>
  <c r="I64" i="12"/>
  <c r="AM64" i="5"/>
  <c r="L64" i="5"/>
  <c r="Z64" i="5"/>
  <c r="M66" i="6" l="1"/>
  <c r="AZ66" i="6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E69" i="5"/>
  <c r="A67" i="6"/>
  <c r="M67" i="6" s="1"/>
  <c r="AC66" i="6" l="1"/>
  <c r="AK66" i="6"/>
  <c r="AE66" i="6"/>
  <c r="AJ66" i="6"/>
  <c r="AH66" i="6"/>
  <c r="AF66" i="6"/>
  <c r="AG66" i="6"/>
  <c r="AB66" i="6"/>
  <c r="AI66" i="6"/>
  <c r="BG66" i="6"/>
  <c r="AO66" i="6"/>
  <c r="AU66" i="6"/>
  <c r="AM66" i="6"/>
  <c r="BE66" i="6"/>
  <c r="AT66" i="6"/>
  <c r="AV66" i="6"/>
  <c r="AX66" i="6"/>
  <c r="AQ66" i="6"/>
  <c r="AP66" i="6"/>
  <c r="AS66" i="6"/>
  <c r="BB66" i="6"/>
  <c r="BD66" i="6"/>
  <c r="AY66" i="6"/>
  <c r="AR66" i="6"/>
  <c r="BC66" i="6"/>
  <c r="BA66" i="6"/>
  <c r="BF66" i="6"/>
  <c r="AN66" i="6"/>
  <c r="AD66" i="6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B65" i="5"/>
  <c r="C65" i="6"/>
  <c r="A68" i="6"/>
  <c r="M68" i="6" s="1"/>
  <c r="N67" i="6"/>
  <c r="G67" i="12"/>
  <c r="X67" i="5"/>
  <c r="E70" i="5"/>
  <c r="AE70" i="5"/>
  <c r="AD70" i="5"/>
  <c r="N70" i="5"/>
  <c r="B70" i="6"/>
  <c r="K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N65" i="12" l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C72" i="5"/>
  <c r="AE71" i="5"/>
  <c r="B71" i="5"/>
  <c r="D71" i="5"/>
  <c r="B71" i="12" s="1"/>
  <c r="N71" i="5"/>
  <c r="K71" i="5"/>
  <c r="N68" i="6"/>
  <c r="G68" i="12"/>
  <c r="X68" i="5"/>
  <c r="W64" i="12"/>
  <c r="X64" i="12"/>
  <c r="Y65" i="12"/>
  <c r="D70" i="6"/>
  <c r="A69" i="6"/>
  <c r="N69" i="6" s="1"/>
  <c r="L67" i="5"/>
  <c r="AM67" i="5"/>
  <c r="I67" i="12"/>
  <c r="Z67" i="5"/>
  <c r="AH68" i="6"/>
  <c r="AB68" i="6"/>
  <c r="AD68" i="6"/>
  <c r="AJ68" i="6"/>
  <c r="AI68" i="6"/>
  <c r="H69" i="6"/>
  <c r="T69" i="5" s="1"/>
  <c r="A70" i="6" l="1"/>
  <c r="M70" i="6" s="1"/>
  <c r="BE70" i="6" s="1"/>
  <c r="G69" i="12"/>
  <c r="X69" i="5"/>
  <c r="AB67" i="5"/>
  <c r="L68" i="5"/>
  <c r="I68" i="12"/>
  <c r="AM68" i="5"/>
  <c r="Z68" i="5"/>
  <c r="D71" i="6"/>
  <c r="L71" i="12"/>
  <c r="J71" i="12"/>
  <c r="K70" i="12"/>
  <c r="M69" i="6"/>
  <c r="C67" i="12"/>
  <c r="O67" i="12"/>
  <c r="M67" i="12"/>
  <c r="AO67" i="12"/>
  <c r="C67" i="6"/>
  <c r="H70" i="6"/>
  <c r="T70" i="5" s="1"/>
  <c r="W65" i="12"/>
  <c r="X65" i="12"/>
  <c r="V64" i="12"/>
  <c r="T64" i="12"/>
  <c r="U64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Y67" i="12" l="1"/>
  <c r="X67" i="12" s="1"/>
  <c r="N70" i="6"/>
  <c r="A71" i="6"/>
  <c r="M71" i="6" s="1"/>
  <c r="AV71" i="6" s="1"/>
  <c r="N67" i="12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L72" i="12"/>
  <c r="J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AB68" i="5"/>
  <c r="C68" i="6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72" i="6" l="1"/>
  <c r="M72" i="6" s="1"/>
  <c r="BA72" i="6" s="1"/>
  <c r="W67" i="12"/>
  <c r="V67" i="12" s="1"/>
  <c r="N71" i="6"/>
  <c r="AQ71" i="6"/>
  <c r="AP71" i="6"/>
  <c r="AC71" i="6"/>
  <c r="BF71" i="6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J73" i="12"/>
  <c r="L73" i="12"/>
  <c r="N68" i="12"/>
  <c r="I70" i="12"/>
  <c r="L70" i="5"/>
  <c r="AM70" i="5"/>
  <c r="Z70" i="5"/>
  <c r="H72" i="6"/>
  <c r="T72" i="5" s="1"/>
  <c r="AB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T67" i="12" l="1"/>
  <c r="N72" i="6"/>
  <c r="A73" i="6"/>
  <c r="M73" i="6" s="1"/>
  <c r="BC73" i="6" s="1"/>
  <c r="U67" i="12"/>
  <c r="N69" i="12"/>
  <c r="K73" i="12"/>
  <c r="W68" i="12"/>
  <c r="U68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C70" i="6"/>
  <c r="H73" i="6"/>
  <c r="T73" i="5" s="1"/>
  <c r="I71" i="12"/>
  <c r="AM71" i="5"/>
  <c r="L71" i="5"/>
  <c r="Z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74" i="6" l="1"/>
  <c r="M74" i="6" s="1"/>
  <c r="AS74" i="6" s="1"/>
  <c r="T68" i="12"/>
  <c r="N73" i="6"/>
  <c r="V68" i="12"/>
  <c r="AX73" i="6"/>
  <c r="BF73" i="6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Y70" i="12"/>
  <c r="X69" i="12"/>
  <c r="W69" i="12"/>
  <c r="C71" i="6"/>
  <c r="C71" i="12"/>
  <c r="M71" i="12"/>
  <c r="AO71" i="12"/>
  <c r="O71" i="12"/>
  <c r="G73" i="12"/>
  <c r="X73" i="5"/>
  <c r="L75" i="12"/>
  <c r="J75" i="12"/>
  <c r="D75" i="6"/>
  <c r="H74" i="6"/>
  <c r="T74" i="5" s="1"/>
  <c r="G74" i="12" s="1"/>
  <c r="AM72" i="5"/>
  <c r="I72" i="12"/>
  <c r="L72" i="5"/>
  <c r="Z72" i="5"/>
  <c r="AB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N74" i="6" l="1"/>
  <c r="BD74" i="6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K74" i="6"/>
  <c r="AJ74" i="6"/>
  <c r="AB72" i="5"/>
  <c r="C72" i="6"/>
  <c r="I73" i="12"/>
  <c r="L73" i="5"/>
  <c r="AM73" i="5"/>
  <c r="Z73" i="5"/>
  <c r="V69" i="12"/>
  <c r="T69" i="12"/>
  <c r="U69" i="12"/>
  <c r="W70" i="12"/>
  <c r="X70" i="12"/>
  <c r="J76" i="12"/>
  <c r="L76" i="12"/>
  <c r="C72" i="12"/>
  <c r="O72" i="12"/>
  <c r="M72" i="12"/>
  <c r="AO72" i="12"/>
  <c r="AD74" i="6"/>
  <c r="AB74" i="6"/>
  <c r="AF74" i="6"/>
  <c r="AG74" i="6"/>
  <c r="H75" i="6"/>
  <c r="T75" i="5" s="1"/>
  <c r="K75" i="12"/>
  <c r="Y71" i="12"/>
  <c r="A77" i="12"/>
  <c r="H77" i="5"/>
  <c r="J77" i="5"/>
  <c r="C78" i="5"/>
  <c r="K77" i="5"/>
  <c r="B77" i="5"/>
  <c r="N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Y72" i="12" l="1"/>
  <c r="W72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B73" i="5"/>
  <c r="C73" i="12"/>
  <c r="AO73" i="12"/>
  <c r="M73" i="12"/>
  <c r="O73" i="12"/>
  <c r="D77" i="6"/>
  <c r="L77" i="12"/>
  <c r="J77" i="12"/>
  <c r="AJ75" i="6"/>
  <c r="AD75" i="6"/>
  <c r="AB75" i="6"/>
  <c r="AC75" i="6"/>
  <c r="N75" i="6"/>
  <c r="V70" i="12"/>
  <c r="T70" i="12"/>
  <c r="U70" i="12"/>
  <c r="C73" i="6"/>
  <c r="X72" i="12" l="1"/>
  <c r="N73" i="12"/>
  <c r="A77" i="6"/>
  <c r="M77" i="6" s="1"/>
  <c r="K77" i="12"/>
  <c r="H77" i="6"/>
  <c r="T77" i="5" s="1"/>
  <c r="Y73" i="12"/>
  <c r="V72" i="12"/>
  <c r="U72" i="12"/>
  <c r="T72" i="12"/>
  <c r="B79" i="6"/>
  <c r="E79" i="5"/>
  <c r="F79" i="5"/>
  <c r="D79" i="5"/>
  <c r="B79" i="12" s="1"/>
  <c r="J79" i="5"/>
  <c r="H79" i="5"/>
  <c r="N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M76" i="6"/>
  <c r="AJ76" i="6" s="1"/>
  <c r="N76" i="6"/>
  <c r="L75" i="5"/>
  <c r="I75" i="12"/>
  <c r="AM75" i="5"/>
  <c r="Z75" i="5"/>
  <c r="U71" i="12"/>
  <c r="T71" i="12"/>
  <c r="V71" i="12"/>
  <c r="G76" i="12"/>
  <c r="X76" i="5"/>
  <c r="N77" i="6" l="1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B75" i="5"/>
  <c r="C75" i="6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N78" i="6" l="1"/>
  <c r="AG81" i="5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79" i="6"/>
  <c r="M79" i="6" s="1"/>
  <c r="G78" i="12"/>
  <c r="X78" i="5"/>
  <c r="AC78" i="6"/>
  <c r="AI78" i="6"/>
  <c r="AJ78" i="6"/>
  <c r="AB76" i="5"/>
  <c r="C76" i="6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AF82" i="5"/>
  <c r="N76" i="12" l="1"/>
  <c r="N79" i="6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B77" i="5"/>
  <c r="C77" i="6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AF83" i="5"/>
  <c r="N80" i="6" l="1"/>
  <c r="K81" i="12"/>
  <c r="AG83" i="5"/>
  <c r="S83" i="5"/>
  <c r="F83" i="12" s="1"/>
  <c r="BC80" i="6"/>
  <c r="BB80" i="6"/>
  <c r="AH80" i="6"/>
  <c r="BE80" i="6"/>
  <c r="A81" i="6"/>
  <c r="N81" i="6" s="1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C78" i="12"/>
  <c r="AO78" i="12"/>
  <c r="M78" i="12"/>
  <c r="O78" i="12"/>
  <c r="C78" i="6"/>
  <c r="AM79" i="5"/>
  <c r="I79" i="12"/>
  <c r="L79" i="5"/>
  <c r="Z79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E83" i="12"/>
  <c r="F83" i="6"/>
  <c r="U76" i="12"/>
  <c r="V76" i="12"/>
  <c r="T76" i="12"/>
  <c r="G82" i="6"/>
  <c r="H82" i="6"/>
  <c r="T82" i="5" s="1"/>
  <c r="A82" i="6"/>
  <c r="N82" i="6" s="1"/>
  <c r="C79" i="12"/>
  <c r="M79" i="12"/>
  <c r="O79" i="12"/>
  <c r="AO79" i="12"/>
  <c r="Y78" i="12"/>
  <c r="AM80" i="5"/>
  <c r="L80" i="5"/>
  <c r="I80" i="12"/>
  <c r="Z80" i="5"/>
  <c r="D83" i="6"/>
  <c r="J83" i="12"/>
  <c r="L83" i="12"/>
  <c r="X77" i="12"/>
  <c r="W77" i="12"/>
  <c r="G81" i="12"/>
  <c r="X81" i="5"/>
  <c r="K82" i="12"/>
  <c r="AB79" i="5"/>
  <c r="C79" i="6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N83" i="6" s="1"/>
  <c r="G83" i="6"/>
  <c r="H83" i="6"/>
  <c r="T83" i="5" s="1"/>
  <c r="C80" i="6"/>
  <c r="W78" i="12"/>
  <c r="X78" i="12"/>
  <c r="D84" i="6"/>
  <c r="AM81" i="5"/>
  <c r="I81" i="12"/>
  <c r="L81" i="5"/>
  <c r="Z81" i="5"/>
  <c r="AC81" i="5"/>
  <c r="V77" i="12"/>
  <c r="T77" i="12"/>
  <c r="U77" i="12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AC82" i="5"/>
  <c r="W79" i="12"/>
  <c r="X79" i="12"/>
  <c r="C81" i="12"/>
  <c r="AO81" i="12"/>
  <c r="O81" i="12"/>
  <c r="M81" i="12"/>
  <c r="H84" i="6"/>
  <c r="T84" i="5" s="1"/>
  <c r="G84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F87" i="5"/>
  <c r="AD83" i="6" l="1"/>
  <c r="AQ83" i="6"/>
  <c r="AY83" i="6"/>
  <c r="AI83" i="6"/>
  <c r="N84" i="6"/>
  <c r="AC83" i="6"/>
  <c r="AZ83" i="6"/>
  <c r="BA83" i="6"/>
  <c r="AK83" i="6"/>
  <c r="A85" i="6"/>
  <c r="N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K85" i="12"/>
  <c r="F86" i="6"/>
  <c r="E86" i="12"/>
  <c r="AF88" i="5"/>
  <c r="M85" i="6" l="1"/>
  <c r="AO85" i="6" s="1"/>
  <c r="A86" i="6"/>
  <c r="N86" i="6" s="1"/>
  <c r="AG88" i="5"/>
  <c r="S88" i="5"/>
  <c r="F88" i="12" s="1"/>
  <c r="Y82" i="12"/>
  <c r="W82" i="12" s="1"/>
  <c r="D82" i="12"/>
  <c r="E82" i="6"/>
  <c r="W81" i="12"/>
  <c r="X81" i="12"/>
  <c r="C83" i="6"/>
  <c r="O83" i="5"/>
  <c r="H86" i="6"/>
  <c r="T86" i="5" s="1"/>
  <c r="G86" i="6"/>
  <c r="J87" i="12"/>
  <c r="L87" i="12"/>
  <c r="F87" i="6"/>
  <c r="E87" i="12"/>
  <c r="G85" i="12"/>
  <c r="X85" i="5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N82" i="12"/>
  <c r="AF89" i="5"/>
  <c r="AC85" i="6" l="1"/>
  <c r="A87" i="6"/>
  <c r="N87" i="6" s="1"/>
  <c r="M86" i="6"/>
  <c r="BA86" i="6" s="1"/>
  <c r="AX85" i="6"/>
  <c r="AJ85" i="6"/>
  <c r="AR85" i="6"/>
  <c r="AG85" i="6"/>
  <c r="BB85" i="6"/>
  <c r="BC85" i="6"/>
  <c r="AD85" i="6"/>
  <c r="BE85" i="6"/>
  <c r="AH85" i="6"/>
  <c r="AZ85" i="6"/>
  <c r="AV85" i="6"/>
  <c r="AE85" i="6"/>
  <c r="AI85" i="6"/>
  <c r="AK85" i="6"/>
  <c r="AB85" i="6"/>
  <c r="AF85" i="6"/>
  <c r="BF85" i="6"/>
  <c r="BD85" i="6"/>
  <c r="AY85" i="6"/>
  <c r="AQ85" i="6"/>
  <c r="AN85" i="6"/>
  <c r="AM85" i="6"/>
  <c r="AU85" i="6"/>
  <c r="BG85" i="6"/>
  <c r="BA85" i="6"/>
  <c r="AS85" i="6"/>
  <c r="AT85" i="6"/>
  <c r="AP85" i="6"/>
  <c r="X82" i="12"/>
  <c r="S89" i="5"/>
  <c r="F89" i="12" s="1"/>
  <c r="AG89" i="5"/>
  <c r="K87" i="12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D83" i="12"/>
  <c r="E83" i="6"/>
  <c r="J88" i="12"/>
  <c r="L88" i="12"/>
  <c r="F88" i="6"/>
  <c r="E88" i="12"/>
  <c r="M87" i="6"/>
  <c r="AV87" i="6" s="1"/>
  <c r="H87" i="6"/>
  <c r="T87" i="5" s="1"/>
  <c r="G87" i="6"/>
  <c r="N83" i="12"/>
  <c r="Y83" i="12"/>
  <c r="AB84" i="5"/>
  <c r="AA84" i="5"/>
  <c r="C84" i="6"/>
  <c r="O84" i="5"/>
  <c r="T82" i="12"/>
  <c r="V82" i="12"/>
  <c r="U82" i="12"/>
  <c r="U81" i="12"/>
  <c r="V81" i="12"/>
  <c r="T81" i="12"/>
  <c r="AF90" i="5"/>
  <c r="A88" i="6" l="1"/>
  <c r="M88" i="6" s="1"/>
  <c r="AN88" i="6" s="1"/>
  <c r="AB86" i="6"/>
  <c r="BG86" i="6"/>
  <c r="AI86" i="6"/>
  <c r="AR86" i="6"/>
  <c r="AS86" i="6"/>
  <c r="AK86" i="6"/>
  <c r="BC86" i="6"/>
  <c r="AC86" i="6"/>
  <c r="AD86" i="6"/>
  <c r="AH86" i="6"/>
  <c r="BF86" i="6"/>
  <c r="AT86" i="6"/>
  <c r="AY86" i="6"/>
  <c r="AE86" i="6"/>
  <c r="AM86" i="6"/>
  <c r="AX86" i="6"/>
  <c r="BB86" i="6"/>
  <c r="AO86" i="6"/>
  <c r="BE86" i="6"/>
  <c r="AZ86" i="6"/>
  <c r="BD86" i="6"/>
  <c r="AV86" i="6"/>
  <c r="AQ86" i="6"/>
  <c r="AP86" i="6"/>
  <c r="AF86" i="6"/>
  <c r="AU86" i="6"/>
  <c r="AN86" i="6"/>
  <c r="AJ86" i="6"/>
  <c r="AG86" i="6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N88" i="6" l="1"/>
  <c r="AO88" i="6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V84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T84" i="12" l="1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N90" i="6" s="1"/>
  <c r="AA87" i="5"/>
  <c r="AB87" i="5"/>
  <c r="C87" i="12"/>
  <c r="AO87" i="12"/>
  <c r="O87" i="12"/>
  <c r="M87" i="12"/>
  <c r="D91" i="6"/>
  <c r="N89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N91" i="6" s="1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N92" i="6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N93" i="6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AF97" i="5"/>
  <c r="N94" i="6" l="1"/>
  <c r="Y91" i="12"/>
  <c r="W91" i="12" s="1"/>
  <c r="S97" i="5"/>
  <c r="F97" i="12" s="1"/>
  <c r="AG97" i="5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X91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C93" i="5"/>
  <c r="E96" i="12"/>
  <c r="F96" i="6"/>
  <c r="A95" i="6"/>
  <c r="N95" i="6" s="1"/>
  <c r="C92" i="6"/>
  <c r="O92" i="5"/>
  <c r="W90" i="12"/>
  <c r="X90" i="12"/>
  <c r="AF98" i="5"/>
  <c r="S98" i="5" l="1"/>
  <c r="F98" i="12" s="1"/>
  <c r="AG98" i="5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R98" i="5"/>
  <c r="B98" i="6"/>
  <c r="D98" i="5"/>
  <c r="B98" i="12" s="1"/>
  <c r="AD98" i="5"/>
  <c r="E98" i="5"/>
  <c r="K98" i="5"/>
  <c r="B98" i="5"/>
  <c r="J98" i="5"/>
  <c r="A98" i="12"/>
  <c r="E97" i="12"/>
  <c r="F97" i="6"/>
  <c r="K96" i="12"/>
  <c r="AF99" i="5"/>
  <c r="A97" i="6" l="1"/>
  <c r="M97" i="6" s="1"/>
  <c r="AT97" i="6" s="1"/>
  <c r="N96" i="6"/>
  <c r="AS96" i="6"/>
  <c r="AP96" i="6"/>
  <c r="AU96" i="6"/>
  <c r="S99" i="5"/>
  <c r="F99" i="12" s="1"/>
  <c r="AG99" i="5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O94" i="5"/>
  <c r="C94" i="12"/>
  <c r="O94" i="12"/>
  <c r="M94" i="12"/>
  <c r="AO94" i="12"/>
  <c r="W93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A94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AF100" i="5"/>
  <c r="N97" i="6" l="1"/>
  <c r="Y94" i="12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V93" i="12"/>
  <c r="U93" i="12"/>
  <c r="T93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D94" i="12"/>
  <c r="E94" i="6"/>
  <c r="F99" i="6"/>
  <c r="E99" i="12"/>
  <c r="D99" i="6"/>
  <c r="A98" i="6"/>
  <c r="M98" i="6" s="1"/>
  <c r="AF101" i="5"/>
  <c r="X94" i="12" l="1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L100" i="12"/>
  <c r="J100" i="12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N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AF102" i="5"/>
  <c r="W95" i="12" l="1"/>
  <c r="V95" i="12" s="1"/>
  <c r="A100" i="6"/>
  <c r="M100" i="6" s="1"/>
  <c r="AS100" i="6" s="1"/>
  <c r="N99" i="6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D96" i="12"/>
  <c r="E96" i="6"/>
  <c r="K100" i="12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AC98" i="5"/>
  <c r="AF103" i="5"/>
  <c r="T95" i="12" l="1"/>
  <c r="A101" i="6"/>
  <c r="N101" i="6" s="1"/>
  <c r="U95" i="12"/>
  <c r="N100" i="6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E102" i="12"/>
  <c r="F102" i="6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W96" i="12"/>
  <c r="X96" i="12"/>
  <c r="AF104" i="5"/>
  <c r="M101" i="6" l="1"/>
  <c r="BC101" i="6" s="1"/>
  <c r="S104" i="5"/>
  <c r="F104" i="12" s="1"/>
  <c r="AG104" i="5"/>
  <c r="Y98" i="12"/>
  <c r="W98" i="12" s="1"/>
  <c r="V96" i="12"/>
  <c r="T96" i="12"/>
  <c r="U96" i="12"/>
  <c r="AB99" i="5"/>
  <c r="AA99" i="5"/>
  <c r="C99" i="12"/>
  <c r="AO99" i="12"/>
  <c r="O99" i="12"/>
  <c r="M99" i="12"/>
  <c r="F103" i="6"/>
  <c r="E103" i="12"/>
  <c r="I100" i="12"/>
  <c r="L100" i="5"/>
  <c r="AM100" i="5"/>
  <c r="Z100" i="5"/>
  <c r="AC100" i="5"/>
  <c r="K102" i="12"/>
  <c r="G102" i="6"/>
  <c r="H102" i="6"/>
  <c r="T102" i="5" s="1"/>
  <c r="G101" i="12"/>
  <c r="X101" i="5"/>
  <c r="C99" i="6"/>
  <c r="O99" i="5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AQ101" i="6" l="1"/>
  <c r="AK101" i="6"/>
  <c r="AC101" i="6"/>
  <c r="AG101" i="6"/>
  <c r="AN101" i="6"/>
  <c r="BB101" i="6"/>
  <c r="AP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N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N103" i="6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N104" i="6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N105" i="6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N106" i="6"/>
  <c r="A107" i="6"/>
  <c r="N107" i="6" s="1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W104" i="12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AJ107" i="6" l="1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N109" i="6" s="1"/>
  <c r="N108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V104" i="12"/>
  <c r="T104" i="12"/>
  <c r="U104" i="12"/>
  <c r="AF112" i="5"/>
  <c r="M109" i="6" l="1"/>
  <c r="AV109" i="6" s="1"/>
  <c r="X105" i="12"/>
  <c r="AH108" i="6"/>
  <c r="AI108" i="6"/>
  <c r="AO108" i="6"/>
  <c r="AV108" i="6"/>
  <c r="A110" i="6"/>
  <c r="N110" i="6" s="1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AU109" i="6" l="1"/>
  <c r="BC109" i="6"/>
  <c r="AK109" i="6"/>
  <c r="AF109" i="6"/>
  <c r="AB109" i="6"/>
  <c r="AE109" i="6"/>
  <c r="BB109" i="6"/>
  <c r="AH109" i="6"/>
  <c r="BE109" i="6"/>
  <c r="AJ109" i="6"/>
  <c r="AC109" i="6"/>
  <c r="AN109" i="6"/>
  <c r="AM109" i="6"/>
  <c r="AR109" i="6"/>
  <c r="AQ109" i="6"/>
  <c r="AT109" i="6"/>
  <c r="BD109" i="6"/>
  <c r="AP109" i="6"/>
  <c r="BF109" i="6"/>
  <c r="AG109" i="6"/>
  <c r="AS109" i="6"/>
  <c r="BA109" i="6"/>
  <c r="AY109" i="6"/>
  <c r="AI109" i="6"/>
  <c r="AO109" i="6"/>
  <c r="AX109" i="6"/>
  <c r="AD109" i="6"/>
  <c r="AZ109" i="6"/>
  <c r="BG109" i="6"/>
  <c r="M110" i="6"/>
  <c r="AY110" i="6" s="1"/>
  <c r="AG113" i="5"/>
  <c r="S113" i="5"/>
  <c r="F113" i="12" s="1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N111" i="6" s="1"/>
  <c r="L112" i="12"/>
  <c r="J112" i="12"/>
  <c r="F112" i="6"/>
  <c r="E112" i="12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AC109" i="5"/>
  <c r="N107" i="12"/>
  <c r="Y107" i="12"/>
  <c r="AF114" i="5"/>
  <c r="AH110" i="6" l="1"/>
  <c r="AF110" i="6"/>
  <c r="AI110" i="6"/>
  <c r="AC110" i="6"/>
  <c r="BD110" i="6"/>
  <c r="AQ110" i="6"/>
  <c r="AB110" i="6"/>
  <c r="AJ110" i="6"/>
  <c r="AG110" i="6"/>
  <c r="AS110" i="6"/>
  <c r="BG110" i="6"/>
  <c r="BF110" i="6"/>
  <c r="AK110" i="6"/>
  <c r="BB110" i="6"/>
  <c r="BC110" i="6"/>
  <c r="AP110" i="6"/>
  <c r="AX110" i="6"/>
  <c r="AT110" i="6"/>
  <c r="AM110" i="6"/>
  <c r="AD110" i="6"/>
  <c r="AO110" i="6"/>
  <c r="BA110" i="6"/>
  <c r="AE110" i="6"/>
  <c r="AN110" i="6"/>
  <c r="AZ110" i="6"/>
  <c r="AU110" i="6"/>
  <c r="BE110" i="6"/>
  <c r="AV110" i="6"/>
  <c r="AR110" i="6"/>
  <c r="S114" i="5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N113" i="6" s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N112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M113" i="6" l="1"/>
  <c r="AO113" i="6" s="1"/>
  <c r="K114" i="12"/>
  <c r="W109" i="12"/>
  <c r="T109" i="12" s="1"/>
  <c r="S116" i="5"/>
  <c r="F116" i="12" s="1"/>
  <c r="AG116" i="5"/>
  <c r="Y110" i="12"/>
  <c r="W110" i="12" s="1"/>
  <c r="G113" i="12"/>
  <c r="X113" i="5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N114" i="6" s="1"/>
  <c r="J115" i="12"/>
  <c r="L115" i="12"/>
  <c r="AF117" i="5"/>
  <c r="AI113" i="6" l="1"/>
  <c r="AT113" i="6"/>
  <c r="AD113" i="6"/>
  <c r="AP113" i="6"/>
  <c r="AK113" i="6"/>
  <c r="BB113" i="6"/>
  <c r="AQ113" i="6"/>
  <c r="AF113" i="6"/>
  <c r="AR113" i="6"/>
  <c r="AH113" i="6"/>
  <c r="AY113" i="6"/>
  <c r="AU113" i="6"/>
  <c r="AS113" i="6"/>
  <c r="AC113" i="6"/>
  <c r="AB113" i="6"/>
  <c r="BC113" i="6"/>
  <c r="BE113" i="6"/>
  <c r="AX113" i="6"/>
  <c r="BF113" i="6"/>
  <c r="BG113" i="6"/>
  <c r="AJ113" i="6"/>
  <c r="AE113" i="6"/>
  <c r="AZ113" i="6"/>
  <c r="AG113" i="6"/>
  <c r="BD113" i="6"/>
  <c r="AV113" i="6"/>
  <c r="AM113" i="6"/>
  <c r="BA113" i="6"/>
  <c r="AN113" i="6"/>
  <c r="X110" i="12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N116" i="6" s="1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N115" i="6"/>
  <c r="R118" i="5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F117" i="6"/>
  <c r="E117" i="12"/>
  <c r="H116" i="6"/>
  <c r="T116" i="5" s="1"/>
  <c r="G116" i="6"/>
  <c r="AF119" i="5"/>
  <c r="AH115" i="6" l="1"/>
  <c r="A117" i="6"/>
  <c r="N117" i="6" s="1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N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F119" i="6"/>
  <c r="E119" i="12"/>
  <c r="G118" i="6"/>
  <c r="H118" i="6"/>
  <c r="T118" i="5" s="1"/>
  <c r="AF121" i="5"/>
  <c r="M118" i="6" l="1"/>
  <c r="BA118" i="6" s="1"/>
  <c r="A119" i="6"/>
  <c r="AJ117" i="6"/>
  <c r="BG117" i="6"/>
  <c r="AZ117" i="6"/>
  <c r="AB117" i="6"/>
  <c r="AO117" i="6"/>
  <c r="BD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K119" i="12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A120" i="6" s="1"/>
  <c r="N115" i="12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N119" i="6"/>
  <c r="G119" i="6"/>
  <c r="H119" i="6"/>
  <c r="T119" i="5" s="1"/>
  <c r="M119" i="6"/>
  <c r="BB119" i="6" s="1"/>
  <c r="Y115" i="12"/>
  <c r="AF122" i="5"/>
  <c r="AJ118" i="6" l="1"/>
  <c r="AE118" i="6"/>
  <c r="AQ118" i="6"/>
  <c r="AN118" i="6"/>
  <c r="AR118" i="6"/>
  <c r="AP118" i="6"/>
  <c r="AH118" i="6"/>
  <c r="AB118" i="6"/>
  <c r="AF118" i="6"/>
  <c r="AC118" i="6"/>
  <c r="AO118" i="6"/>
  <c r="BD118" i="6"/>
  <c r="AS118" i="6"/>
  <c r="BC118" i="6"/>
  <c r="AX118" i="6"/>
  <c r="BG118" i="6"/>
  <c r="AI118" i="6"/>
  <c r="BB118" i="6"/>
  <c r="AG118" i="6"/>
  <c r="AT118" i="6"/>
  <c r="AZ118" i="6"/>
  <c r="AD118" i="6"/>
  <c r="AM118" i="6"/>
  <c r="AK118" i="6"/>
  <c r="AV118" i="6"/>
  <c r="BF118" i="6"/>
  <c r="AU118" i="6"/>
  <c r="BE118" i="6"/>
  <c r="AY118" i="6"/>
  <c r="Y116" i="12"/>
  <c r="X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AC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A121" i="6" s="1"/>
  <c r="H120" i="6"/>
  <c r="T120" i="5" s="1"/>
  <c r="M120" i="6"/>
  <c r="BE120" i="6" s="1"/>
  <c r="G120" i="6"/>
  <c r="N120" i="6"/>
  <c r="C117" i="6"/>
  <c r="O117" i="5"/>
  <c r="C117" i="12"/>
  <c r="AO117" i="12"/>
  <c r="M117" i="12"/>
  <c r="O117" i="12"/>
  <c r="AF123" i="5"/>
  <c r="W116" i="12" l="1"/>
  <c r="V116" i="12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N121" i="6"/>
  <c r="M121" i="6"/>
  <c r="AP121" i="6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U115" i="12"/>
  <c r="V115" i="12"/>
  <c r="T115" i="12"/>
  <c r="C118" i="12"/>
  <c r="O118" i="12"/>
  <c r="M118" i="12"/>
  <c r="AO118" i="12"/>
  <c r="U116" i="12"/>
  <c r="AF124" i="5"/>
  <c r="T116" i="12" l="1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X118" i="12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E118" i="6"/>
  <c r="D118" i="12"/>
  <c r="A122" i="6"/>
  <c r="N122" i="6" s="1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Y119" i="12" l="1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X119" i="12" l="1"/>
  <c r="AR122" i="6"/>
  <c r="A124" i="6"/>
  <c r="N124" i="6" s="1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N123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Y121" i="12" l="1"/>
  <c r="X121" i="12" s="1"/>
  <c r="M124" i="6"/>
  <c r="BF124" i="6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F124" i="6" l="1"/>
  <c r="BG124" i="6"/>
  <c r="AK124" i="6"/>
  <c r="AM124" i="6"/>
  <c r="W121" i="12"/>
  <c r="U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N125" i="6"/>
  <c r="G125" i="12"/>
  <c r="X125" i="5"/>
  <c r="AJ125" i="6"/>
  <c r="AK125" i="6"/>
  <c r="AF129" i="5"/>
  <c r="V121" i="12" l="1"/>
  <c r="T121" i="12"/>
  <c r="X122" i="12"/>
  <c r="K127" i="12"/>
  <c r="S129" i="5"/>
  <c r="F129" i="12" s="1"/>
  <c r="AG129" i="5"/>
  <c r="A127" i="6"/>
  <c r="N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N126" i="6"/>
  <c r="T122" i="12"/>
  <c r="V122" i="12"/>
  <c r="U122" i="12"/>
  <c r="AF130" i="5"/>
  <c r="M127" i="6" l="1"/>
  <c r="BA127" i="6" s="1"/>
  <c r="A128" i="6"/>
  <c r="M128" i="6" s="1"/>
  <c r="AG130" i="5"/>
  <c r="S130" i="5"/>
  <c r="F130" i="12" s="1"/>
  <c r="Y124" i="12"/>
  <c r="W124" i="12" s="1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AB127" i="6" l="1"/>
  <c r="AR127" i="6"/>
  <c r="AF127" i="6"/>
  <c r="AC127" i="6"/>
  <c r="AI127" i="6"/>
  <c r="AY127" i="6"/>
  <c r="AQ127" i="6"/>
  <c r="AN127" i="6"/>
  <c r="AP127" i="6"/>
  <c r="AG127" i="6"/>
  <c r="AS127" i="6"/>
  <c r="AO127" i="6"/>
  <c r="AK127" i="6"/>
  <c r="AX127" i="6"/>
  <c r="BF127" i="6"/>
  <c r="AE127" i="6"/>
  <c r="AU127" i="6"/>
  <c r="BD127" i="6"/>
  <c r="BB127" i="6"/>
  <c r="AD127" i="6"/>
  <c r="AM127" i="6"/>
  <c r="AV127" i="6"/>
  <c r="BG127" i="6"/>
  <c r="AH127" i="6"/>
  <c r="BC127" i="6"/>
  <c r="BE127" i="6"/>
  <c r="AT127" i="6"/>
  <c r="AZ127" i="6"/>
  <c r="AJ127" i="6"/>
  <c r="N128" i="6"/>
  <c r="N125" i="12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N129" i="6" s="1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T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N130" i="6" s="1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V125" i="12" l="1"/>
  <c r="U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W127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AP131" i="6" l="1"/>
  <c r="BD131" i="6"/>
  <c r="A132" i="6"/>
  <c r="M132" i="6" s="1"/>
  <c r="BC132" i="6" s="1"/>
  <c r="N131" i="6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X128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U127" i="12"/>
  <c r="T127" i="12"/>
  <c r="V127" i="12"/>
  <c r="AF135" i="5"/>
  <c r="A133" i="6" l="1"/>
  <c r="N133" i="6" s="1"/>
  <c r="N132" i="6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E129" i="6"/>
  <c r="D129" i="12"/>
  <c r="Y129" i="12"/>
  <c r="AF136" i="5"/>
  <c r="A134" i="6" l="1"/>
  <c r="N134" i="6" s="1"/>
  <c r="M133" i="6"/>
  <c r="AU133" i="6" s="1"/>
  <c r="N130" i="12"/>
  <c r="K134" i="12"/>
  <c r="S136" i="5"/>
  <c r="F136" i="12" s="1"/>
  <c r="AG136" i="5"/>
  <c r="Y130" i="12"/>
  <c r="W130" i="12" s="1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M134" i="6"/>
  <c r="AV134" i="6" s="1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G133" i="12"/>
  <c r="X133" i="5"/>
  <c r="AF137" i="5"/>
  <c r="AP133" i="6" l="1"/>
  <c r="AT133" i="6"/>
  <c r="AY133" i="6"/>
  <c r="AM133" i="6"/>
  <c r="AV133" i="6"/>
  <c r="AG133" i="6"/>
  <c r="AD133" i="6"/>
  <c r="BA133" i="6"/>
  <c r="AX133" i="6"/>
  <c r="BF133" i="6"/>
  <c r="AI133" i="6"/>
  <c r="BB133" i="6"/>
  <c r="AO133" i="6"/>
  <c r="AB133" i="6"/>
  <c r="AF133" i="6"/>
  <c r="AN133" i="6"/>
  <c r="AJ133" i="6"/>
  <c r="BG133" i="6"/>
  <c r="BE133" i="6"/>
  <c r="AZ133" i="6"/>
  <c r="AQ133" i="6"/>
  <c r="BC133" i="6"/>
  <c r="AK133" i="6"/>
  <c r="AS133" i="6"/>
  <c r="BD133" i="6"/>
  <c r="AE133" i="6"/>
  <c r="AH133" i="6"/>
  <c r="AC133" i="6"/>
  <c r="AR133" i="6"/>
  <c r="X130" i="12"/>
  <c r="S137" i="5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N135" i="6" s="1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W131" i="12" l="1"/>
  <c r="V131" i="12" s="1"/>
  <c r="N132" i="12"/>
  <c r="A136" i="6"/>
  <c r="N136" i="6" s="1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T131" i="12"/>
  <c r="D137" i="6"/>
  <c r="E137" i="12"/>
  <c r="F137" i="6"/>
  <c r="L137" i="12"/>
  <c r="J137" i="12"/>
  <c r="M135" i="6"/>
  <c r="AB135" i="6" s="1"/>
  <c r="G135" i="12"/>
  <c r="X135" i="5"/>
  <c r="AF139" i="5"/>
  <c r="U131" i="12" l="1"/>
  <c r="M136" i="6"/>
  <c r="AU136" i="6" s="1"/>
  <c r="X132" i="12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K136" i="6" l="1"/>
  <c r="BC136" i="6"/>
  <c r="AB136" i="6"/>
  <c r="AM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S140" i="5"/>
  <c r="F140" i="12" s="1"/>
  <c r="AG140" i="5"/>
  <c r="A138" i="6"/>
  <c r="N138" i="6" s="1"/>
  <c r="D139" i="6"/>
  <c r="J139" i="12"/>
  <c r="L139" i="12"/>
  <c r="M137" i="6"/>
  <c r="T133" i="12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N137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Y135" i="12" l="1"/>
  <c r="W135" i="12" s="1"/>
  <c r="U133" i="12"/>
  <c r="M138" i="6"/>
  <c r="AP138" i="6" s="1"/>
  <c r="K139" i="12"/>
  <c r="AG141" i="5"/>
  <c r="S141" i="5"/>
  <c r="F141" i="12" s="1"/>
  <c r="A139" i="6"/>
  <c r="N139" i="6" s="1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V135" i="12"/>
  <c r="T135" i="12"/>
  <c r="U135" i="12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N140" i="6" s="1"/>
  <c r="D141" i="6"/>
  <c r="E141" i="12"/>
  <c r="F141" i="6"/>
  <c r="AF143" i="5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N141" i="6" s="1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T136" i="12" l="1"/>
  <c r="U136" i="12"/>
  <c r="X137" i="12"/>
  <c r="M141" i="6"/>
  <c r="AU141" i="6" s="1"/>
  <c r="A142" i="6"/>
  <c r="N142" i="6" s="1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M142" i="6"/>
  <c r="AQ142" i="6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N143" i="6" s="1"/>
  <c r="AG145" i="5"/>
  <c r="S145" i="5"/>
  <c r="F145" i="12" s="1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BD142" i="6" l="1"/>
  <c r="AV142" i="6"/>
  <c r="AU142" i="6"/>
  <c r="AH142" i="6"/>
  <c r="AD142" i="6"/>
  <c r="AX142" i="6"/>
  <c r="AF142" i="6"/>
  <c r="BF142" i="6"/>
  <c r="BE142" i="6"/>
  <c r="AK142" i="6"/>
  <c r="AG142" i="6"/>
  <c r="AO142" i="6"/>
  <c r="AM142" i="6"/>
  <c r="AB142" i="6"/>
  <c r="BB142" i="6"/>
  <c r="AT142" i="6"/>
  <c r="BC142" i="6"/>
  <c r="AE142" i="6"/>
  <c r="AY142" i="6"/>
  <c r="AS142" i="6"/>
  <c r="AZ142" i="6"/>
  <c r="AI142" i="6"/>
  <c r="AC142" i="6"/>
  <c r="BA142" i="6"/>
  <c r="AP142" i="6"/>
  <c r="BG142" i="6"/>
  <c r="AJ142" i="6"/>
  <c r="AR142" i="6"/>
  <c r="AN142" i="6"/>
  <c r="Y140" i="12"/>
  <c r="X140" i="12" s="1"/>
  <c r="M143" i="6"/>
  <c r="BD143" i="6" s="1"/>
  <c r="A144" i="6"/>
  <c r="M144" i="6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W140" i="12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AF143" i="6" l="1"/>
  <c r="AJ143" i="6"/>
  <c r="BB143" i="6"/>
  <c r="BA143" i="6"/>
  <c r="B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N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V140" i="12"/>
  <c r="T140" i="12"/>
  <c r="U140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S148" i="5" l="1"/>
  <c r="F148" i="12" s="1"/>
  <c r="AG148" i="5"/>
  <c r="A146" i="6"/>
  <c r="M146" i="6" s="1"/>
  <c r="AZ146" i="6" s="1"/>
  <c r="N142" i="12"/>
  <c r="N145" i="6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N146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N147" i="6" s="1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N148" i="6" s="1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B151" i="5"/>
  <c r="C152" i="5" s="1"/>
  <c r="R152" i="5" s="1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N149" i="6" s="1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N150" i="6" s="1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F152" i="5"/>
  <c r="E152" i="5"/>
  <c r="G152" i="5"/>
  <c r="H152" i="5"/>
  <c r="W152" i="5"/>
  <c r="H152" i="12" s="1"/>
  <c r="B152" i="5"/>
  <c r="C153" i="5"/>
  <c r="AD152" i="5"/>
  <c r="N152" i="5"/>
  <c r="AE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D152" i="6"/>
  <c r="H153" i="5"/>
  <c r="N153" i="5"/>
  <c r="B153" i="6"/>
  <c r="E153" i="5"/>
  <c r="R153" i="5"/>
  <c r="F153" i="5"/>
  <c r="B153" i="5"/>
  <c r="G153" i="5"/>
  <c r="W153" i="5"/>
  <c r="H153" i="12" s="1"/>
  <c r="AE153" i="5"/>
  <c r="AD153" i="5"/>
  <c r="C154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V150" i="6" l="1"/>
  <c r="AJ150" i="6"/>
  <c r="BD150" i="6"/>
  <c r="BE150" i="6"/>
  <c r="AT150" i="6"/>
  <c r="BA150" i="6"/>
  <c r="AX150" i="6"/>
  <c r="BC150" i="6"/>
  <c r="AN150" i="6"/>
  <c r="AF150" i="6"/>
  <c r="AM150" i="6"/>
  <c r="AG150" i="6"/>
  <c r="AU150" i="6"/>
  <c r="AS150" i="6"/>
  <c r="AY150" i="6"/>
  <c r="AP150" i="6"/>
  <c r="AE150" i="6"/>
  <c r="AC150" i="6"/>
  <c r="BG150" i="6"/>
  <c r="AK150" i="6"/>
  <c r="AD150" i="6"/>
  <c r="AB150" i="6"/>
  <c r="AI150" i="6"/>
  <c r="BB150" i="6"/>
  <c r="AH150" i="6"/>
  <c r="AR150" i="6"/>
  <c r="BF150" i="6"/>
  <c r="AO150" i="6"/>
  <c r="AQ150" i="6"/>
  <c r="X147" i="12"/>
  <c r="N151" i="6"/>
  <c r="A152" i="6"/>
  <c r="M152" i="6" s="1"/>
  <c r="AM151" i="6"/>
  <c r="AZ151" i="6"/>
  <c r="AP151" i="6"/>
  <c r="AK151" i="6"/>
  <c r="AS151" i="6"/>
  <c r="BD151" i="6"/>
  <c r="N148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AE154" i="5"/>
  <c r="B154" i="6"/>
  <c r="AD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N152" i="6" l="1"/>
  <c r="N149" i="12"/>
  <c r="AM152" i="6"/>
  <c r="AP152" i="6"/>
  <c r="BE152" i="6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D154" i="6"/>
  <c r="D149" i="12"/>
  <c r="E149" i="6"/>
  <c r="AM151" i="5"/>
  <c r="I151" i="12"/>
  <c r="L151" i="5"/>
  <c r="Z151" i="5"/>
  <c r="AC151" i="5"/>
  <c r="X148" i="12"/>
  <c r="W148" i="12"/>
  <c r="A153" i="6"/>
  <c r="N153" i="6" s="1"/>
  <c r="BG152" i="6"/>
  <c r="AK152" i="6"/>
  <c r="AQ152" i="6"/>
  <c r="AI152" i="6"/>
  <c r="AE152" i="6"/>
  <c r="AN152" i="6"/>
  <c r="AY152" i="6"/>
  <c r="AG152" i="6"/>
  <c r="G152" i="12"/>
  <c r="BB152" i="6"/>
  <c r="AH152" i="6"/>
  <c r="BA152" i="6"/>
  <c r="BC152" i="6"/>
  <c r="AR152" i="6"/>
  <c r="AB152" i="6"/>
  <c r="L154" i="12"/>
  <c r="J154" i="12"/>
  <c r="Y149" i="12"/>
  <c r="Y150" i="12" l="1"/>
  <c r="W150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H154" i="6"/>
  <c r="T154" i="5" s="1"/>
  <c r="K156" i="5"/>
  <c r="H156" i="5"/>
  <c r="F156" i="5"/>
  <c r="G156" i="5"/>
  <c r="AE156" i="5"/>
  <c r="E156" i="5"/>
  <c r="B156" i="5"/>
  <c r="N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N154" i="6" s="1"/>
  <c r="C151" i="6"/>
  <c r="O151" i="5"/>
  <c r="J155" i="12"/>
  <c r="L155" i="12"/>
  <c r="G153" i="12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T153" i="6"/>
  <c r="BA153" i="6"/>
  <c r="AF153" i="6"/>
  <c r="BD153" i="6"/>
  <c r="AS153" i="6"/>
  <c r="AY153" i="6"/>
  <c r="A155" i="6"/>
  <c r="M154" i="6"/>
  <c r="AJ154" i="6" s="1"/>
  <c r="Y151" i="12"/>
  <c r="W151" i="12" s="1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AE157" i="5"/>
  <c r="AD157" i="5"/>
  <c r="B157" i="6"/>
  <c r="W157" i="5"/>
  <c r="H157" i="12" s="1"/>
  <c r="E157" i="5"/>
  <c r="F157" i="5"/>
  <c r="D156" i="6"/>
  <c r="D151" i="12"/>
  <c r="E151" i="6"/>
  <c r="T150" i="12"/>
  <c r="V150" i="12"/>
  <c r="U150" i="12"/>
  <c r="H155" i="6"/>
  <c r="T155" i="5" s="1"/>
  <c r="G154" i="12"/>
  <c r="X154" i="5"/>
  <c r="M155" i="6" l="1"/>
  <c r="AM155" i="6" s="1"/>
  <c r="AV154" i="6"/>
  <c r="AP154" i="6"/>
  <c r="A156" i="6"/>
  <c r="N156" i="6" s="1"/>
  <c r="X151" i="12"/>
  <c r="BD154" i="6"/>
  <c r="AK154" i="6"/>
  <c r="AI154" i="6"/>
  <c r="BG154" i="6"/>
  <c r="AZ154" i="6"/>
  <c r="N155" i="6"/>
  <c r="BA154" i="6"/>
  <c r="AG154" i="6"/>
  <c r="AX154" i="6"/>
  <c r="BF154" i="6"/>
  <c r="K156" i="12"/>
  <c r="BB154" i="6"/>
  <c r="AO154" i="6"/>
  <c r="AS154" i="6"/>
  <c r="AE154" i="6"/>
  <c r="BE154" i="6"/>
  <c r="BC154" i="6"/>
  <c r="AD154" i="6"/>
  <c r="AR154" i="6"/>
  <c r="AC154" i="6"/>
  <c r="AQ154" i="6"/>
  <c r="AF154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G155" i="12"/>
  <c r="X155" i="5"/>
  <c r="T151" i="12"/>
  <c r="U151" i="12"/>
  <c r="V151" i="12"/>
  <c r="H156" i="6"/>
  <c r="T156" i="5" s="1"/>
  <c r="L157" i="12"/>
  <c r="J157" i="12"/>
  <c r="BF155" i="6" l="1"/>
  <c r="AK155" i="6"/>
  <c r="AB155" i="6"/>
  <c r="AT155" i="6"/>
  <c r="AP155" i="6"/>
  <c r="BD155" i="6"/>
  <c r="AZ155" i="6"/>
  <c r="BG155" i="6"/>
  <c r="AX155" i="6"/>
  <c r="AG155" i="6"/>
  <c r="BE155" i="6"/>
  <c r="AS155" i="6"/>
  <c r="AF155" i="6"/>
  <c r="AE155" i="6"/>
  <c r="AJ155" i="6"/>
  <c r="AD155" i="6"/>
  <c r="AH155" i="6"/>
  <c r="AN155" i="6"/>
  <c r="BA155" i="6"/>
  <c r="AR155" i="6"/>
  <c r="AY155" i="6"/>
  <c r="AC155" i="6"/>
  <c r="AU155" i="6"/>
  <c r="AO155" i="6"/>
  <c r="AI155" i="6"/>
  <c r="BB155" i="6"/>
  <c r="BC155" i="6"/>
  <c r="AQ155" i="6"/>
  <c r="AV155" i="6"/>
  <c r="M156" i="6"/>
  <c r="AI156" i="6" s="1"/>
  <c r="C154" i="6"/>
  <c r="H157" i="6"/>
  <c r="T157" i="5" s="1"/>
  <c r="L158" i="12"/>
  <c r="J158" i="12"/>
  <c r="D158" i="6"/>
  <c r="K157" i="12"/>
  <c r="G156" i="12"/>
  <c r="X156" i="5"/>
  <c r="L155" i="5"/>
  <c r="I155" i="12"/>
  <c r="AM155" i="5"/>
  <c r="Z155" i="5"/>
  <c r="AB154" i="5"/>
  <c r="C154" i="12"/>
  <c r="M154" i="12"/>
  <c r="O154" i="12"/>
  <c r="AO154" i="12"/>
  <c r="N159" i="5"/>
  <c r="AE159" i="5"/>
  <c r="G159" i="5"/>
  <c r="C160" i="5"/>
  <c r="D159" i="5"/>
  <c r="B159" i="12" s="1"/>
  <c r="H159" i="5"/>
  <c r="J159" i="5"/>
  <c r="B159" i="6"/>
  <c r="B159" i="5"/>
  <c r="A159" i="12"/>
  <c r="K159" i="5"/>
  <c r="AD159" i="5"/>
  <c r="W159" i="5"/>
  <c r="H159" i="12" s="1"/>
  <c r="E159" i="5"/>
  <c r="F159" i="5"/>
  <c r="A157" i="6"/>
  <c r="N157" i="6" s="1"/>
  <c r="BG156" i="6" l="1"/>
  <c r="AH156" i="6"/>
  <c r="AM156" i="6"/>
  <c r="BA156" i="6"/>
  <c r="AG156" i="6"/>
  <c r="AR156" i="6"/>
  <c r="AZ156" i="6"/>
  <c r="BF156" i="6"/>
  <c r="AB156" i="6"/>
  <c r="AD156" i="6"/>
  <c r="AT156" i="6"/>
  <c r="AP156" i="6"/>
  <c r="AS156" i="6"/>
  <c r="AN156" i="6"/>
  <c r="AQ156" i="6"/>
  <c r="AE156" i="6"/>
  <c r="AF156" i="6"/>
  <c r="AU156" i="6"/>
  <c r="BD156" i="6"/>
  <c r="AC156" i="6"/>
  <c r="AX156" i="6"/>
  <c r="AY156" i="6"/>
  <c r="AO156" i="6"/>
  <c r="AV156" i="6"/>
  <c r="BE156" i="6"/>
  <c r="BB156" i="6"/>
  <c r="AK156" i="6"/>
  <c r="BC156" i="6"/>
  <c r="AJ156" i="6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B160" i="6"/>
  <c r="G160" i="5"/>
  <c r="C155" i="12"/>
  <c r="O155" i="12"/>
  <c r="M155" i="12"/>
  <c r="AO155" i="12"/>
  <c r="L156" i="5"/>
  <c r="AM156" i="5"/>
  <c r="I156" i="12"/>
  <c r="Z156" i="5"/>
  <c r="K158" i="12"/>
  <c r="J159" i="12"/>
  <c r="L159" i="12"/>
  <c r="D159" i="6"/>
  <c r="N154" i="12"/>
  <c r="AB155" i="5"/>
  <c r="C155" i="6"/>
  <c r="H158" i="6"/>
  <c r="T158" i="5" s="1"/>
  <c r="A158" i="6"/>
  <c r="N158" i="6" s="1"/>
  <c r="G157" i="12"/>
  <c r="X157" i="5"/>
  <c r="AF161" i="5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L157" i="5"/>
  <c r="I157" i="12"/>
  <c r="AM157" i="5"/>
  <c r="Z157" i="5"/>
  <c r="M158" i="6"/>
  <c r="H159" i="6"/>
  <c r="T159" i="5" s="1"/>
  <c r="K159" i="12"/>
  <c r="AB156" i="5"/>
  <c r="C156" i="12"/>
  <c r="AO156" i="12"/>
  <c r="O156" i="12"/>
  <c r="M156" i="12"/>
  <c r="C156" i="6"/>
  <c r="J160" i="12"/>
  <c r="L160" i="12"/>
  <c r="D160" i="6"/>
  <c r="AF162" i="5"/>
  <c r="V154" i="12" l="1"/>
  <c r="X155" i="12"/>
  <c r="T154" i="12"/>
  <c r="N159" i="6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H160" i="6"/>
  <c r="T160" i="5" s="1"/>
  <c r="Y156" i="12"/>
  <c r="AC159" i="6"/>
  <c r="AI159" i="6"/>
  <c r="AH159" i="6"/>
  <c r="AJ159" i="6"/>
  <c r="AK159" i="6"/>
  <c r="AD159" i="6"/>
  <c r="AF158" i="6"/>
  <c r="AK158" i="6"/>
  <c r="AE158" i="6"/>
  <c r="AC158" i="6"/>
  <c r="AB157" i="5"/>
  <c r="C157" i="6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X156" i="12"/>
  <c r="W156" i="12"/>
  <c r="N160" i="6"/>
  <c r="G160" i="12"/>
  <c r="X160" i="5"/>
  <c r="C158" i="6"/>
  <c r="AM159" i="5"/>
  <c r="I159" i="12"/>
  <c r="L159" i="5"/>
  <c r="Z159" i="5"/>
  <c r="F162" i="6"/>
  <c r="E162" i="12"/>
  <c r="D162" i="6"/>
  <c r="A161" i="6"/>
  <c r="N161" i="6" s="1"/>
  <c r="AK160" i="6"/>
  <c r="AC160" i="6"/>
  <c r="AI160" i="6"/>
  <c r="AF160" i="6"/>
  <c r="AB160" i="6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N162" i="6" s="1"/>
  <c r="M161" i="6"/>
  <c r="AJ161" i="6" s="1"/>
  <c r="N158" i="12"/>
  <c r="Y158" i="12"/>
  <c r="C159" i="6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B159" i="5"/>
  <c r="C159" i="12"/>
  <c r="O159" i="12"/>
  <c r="M159" i="12"/>
  <c r="AO159" i="12"/>
  <c r="L160" i="5"/>
  <c r="AM160" i="5"/>
  <c r="I160" i="12"/>
  <c r="Z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N159" i="12"/>
  <c r="G162" i="12"/>
  <c r="X162" i="5"/>
  <c r="E164" i="12"/>
  <c r="F164" i="6"/>
  <c r="D164" i="6"/>
  <c r="L164" i="12"/>
  <c r="J164" i="12"/>
  <c r="K163" i="12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N164" i="6" s="1"/>
  <c r="K164" i="12"/>
  <c r="U158" i="12"/>
  <c r="V158" i="12"/>
  <c r="T158" i="12"/>
  <c r="V159" i="12"/>
  <c r="T159" i="12"/>
  <c r="U159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N163" i="6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J167" i="5"/>
  <c r="D167" i="5"/>
  <c r="B167" i="12" s="1"/>
  <c r="AE167" i="5"/>
  <c r="AD167" i="5"/>
  <c r="G167" i="5"/>
  <c r="E167" i="5"/>
  <c r="B167" i="6"/>
  <c r="B167" i="5"/>
  <c r="C168" i="5" s="1"/>
  <c r="R168" i="5" s="1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N166" i="6" s="1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H168" i="5"/>
  <c r="C169" i="5"/>
  <c r="N168" i="5"/>
  <c r="AE168" i="5"/>
  <c r="D167" i="6"/>
  <c r="AC165" i="6"/>
  <c r="AB165" i="6"/>
  <c r="AH165" i="6"/>
  <c r="N165" i="6"/>
  <c r="AG165" i="6"/>
  <c r="AD165" i="6"/>
  <c r="AF169" i="5"/>
  <c r="N163" i="12" l="1"/>
  <c r="W162" i="12"/>
  <c r="V162" i="12" s="1"/>
  <c r="A167" i="6"/>
  <c r="N167" i="6" s="1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R169" i="5"/>
  <c r="N169" i="5"/>
  <c r="A169" i="12"/>
  <c r="AD169" i="5"/>
  <c r="F169" i="5"/>
  <c r="C170" i="5"/>
  <c r="E169" i="5"/>
  <c r="G169" i="5"/>
  <c r="AE169" i="5"/>
  <c r="B169" i="6"/>
  <c r="Y163" i="12"/>
  <c r="C164" i="12"/>
  <c r="O164" i="12"/>
  <c r="AO164" i="12"/>
  <c r="M164" i="12"/>
  <c r="E163" i="6"/>
  <c r="D163" i="12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N164" i="12"/>
  <c r="X163" i="12"/>
  <c r="W163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C171" i="5"/>
  <c r="D169" i="6"/>
  <c r="D164" i="12"/>
  <c r="E164" i="6"/>
  <c r="I166" i="12"/>
  <c r="AM166" i="5"/>
  <c r="L166" i="5"/>
  <c r="Z166" i="5"/>
  <c r="AC166" i="5"/>
  <c r="A168" i="6"/>
  <c r="M168" i="6" s="1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N168" i="6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J170" i="12"/>
  <c r="L170" i="12"/>
  <c r="X164" i="12"/>
  <c r="W164" i="12"/>
  <c r="AM167" i="5"/>
  <c r="I167" i="12"/>
  <c r="L167" i="5"/>
  <c r="Z167" i="5"/>
  <c r="AC167" i="5"/>
  <c r="G168" i="12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E171" i="5"/>
  <c r="D170" i="6"/>
  <c r="A169" i="6"/>
  <c r="M169" i="6" s="1"/>
  <c r="E165" i="6"/>
  <c r="D165" i="12"/>
  <c r="AH168" i="6"/>
  <c r="AF168" i="6"/>
  <c r="AC168" i="6"/>
  <c r="AI168" i="6"/>
  <c r="T163" i="12"/>
  <c r="U163" i="12"/>
  <c r="V163" i="12"/>
  <c r="W165" i="12" l="1"/>
  <c r="T165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N169" i="6"/>
  <c r="AD169" i="6"/>
  <c r="N166" i="12"/>
  <c r="H170" i="6"/>
  <c r="T170" i="5" s="1"/>
  <c r="L171" i="12"/>
  <c r="J171" i="12"/>
  <c r="J172" i="5"/>
  <c r="F172" i="5"/>
  <c r="B172" i="6"/>
  <c r="W172" i="5"/>
  <c r="H172" i="12" s="1"/>
  <c r="H172" i="5"/>
  <c r="G172" i="5"/>
  <c r="AE172" i="5"/>
  <c r="D172" i="5"/>
  <c r="B172" i="12" s="1"/>
  <c r="C173" i="5"/>
  <c r="K172" i="5"/>
  <c r="AD172" i="5"/>
  <c r="B172" i="5"/>
  <c r="E172" i="5"/>
  <c r="N172" i="5"/>
  <c r="A172" i="12"/>
  <c r="AB167" i="5"/>
  <c r="AA167" i="5"/>
  <c r="C167" i="12"/>
  <c r="O167" i="12"/>
  <c r="AO167" i="12"/>
  <c r="M167" i="12"/>
  <c r="T164" i="12"/>
  <c r="U164" i="12"/>
  <c r="V164" i="12"/>
  <c r="D171" i="6"/>
  <c r="AE169" i="6"/>
  <c r="AN169" i="6"/>
  <c r="AS169" i="6"/>
  <c r="AV169" i="6"/>
  <c r="AJ169" i="6"/>
  <c r="AG169" i="6"/>
  <c r="BF169" i="6"/>
  <c r="AY169" i="6"/>
  <c r="G169" i="12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N170" i="6" l="1"/>
  <c r="U165" i="12"/>
  <c r="V165" i="12"/>
  <c r="AF170" i="6"/>
  <c r="BF170" i="6"/>
  <c r="AP170" i="6"/>
  <c r="AR170" i="6"/>
  <c r="AK170" i="6"/>
  <c r="AH170" i="6"/>
  <c r="BG170" i="6"/>
  <c r="H171" i="6"/>
  <c r="T171" i="5" s="1"/>
  <c r="N167" i="12"/>
  <c r="A171" i="6"/>
  <c r="M171" i="6" s="1"/>
  <c r="L172" i="12"/>
  <c r="J172" i="12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Y167" i="12"/>
  <c r="D172" i="6"/>
  <c r="K173" i="5"/>
  <c r="B173" i="5"/>
  <c r="H173" i="5"/>
  <c r="W173" i="5"/>
  <c r="H173" i="12" s="1"/>
  <c r="B173" i="6"/>
  <c r="C174" i="5"/>
  <c r="AD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X171" i="6" l="1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H172" i="6"/>
  <c r="T172" i="5" s="1"/>
  <c r="I170" i="12"/>
  <c r="AM170" i="5"/>
  <c r="L170" i="5"/>
  <c r="Z170" i="5"/>
  <c r="A172" i="6"/>
  <c r="M172" i="6" s="1"/>
  <c r="J173" i="12"/>
  <c r="L173" i="12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W167" i="12"/>
  <c r="X167" i="12"/>
  <c r="U166" i="12"/>
  <c r="T166" i="12"/>
  <c r="V166" i="12"/>
  <c r="K172" i="12"/>
  <c r="G171" i="12"/>
  <c r="X171" i="5"/>
  <c r="N171" i="6"/>
  <c r="AG171" i="6"/>
  <c r="AB171" i="6"/>
  <c r="AJ171" i="6"/>
  <c r="N172" i="6" l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D174" i="6"/>
  <c r="H173" i="6"/>
  <c r="T173" i="5" s="1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K173" i="12"/>
  <c r="AB170" i="5"/>
  <c r="C170" i="6"/>
  <c r="C170" i="12"/>
  <c r="O170" i="12"/>
  <c r="AO170" i="12"/>
  <c r="M170" i="12"/>
  <c r="G172" i="12"/>
  <c r="X172" i="5"/>
  <c r="AE172" i="6"/>
  <c r="AC172" i="6"/>
  <c r="N173" i="6" l="1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N170" i="12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J175" i="12"/>
  <c r="L175" i="12"/>
  <c r="G173" i="12"/>
  <c r="X173" i="5"/>
  <c r="H174" i="6"/>
  <c r="T174" i="5" s="1"/>
  <c r="AB171" i="5"/>
  <c r="C171" i="12"/>
  <c r="M171" i="12"/>
  <c r="AO171" i="12"/>
  <c r="O171" i="12"/>
  <c r="Y170" i="12"/>
  <c r="A174" i="6"/>
  <c r="N174" i="6" s="1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N171" i="12" l="1"/>
  <c r="A175" i="6"/>
  <c r="N175" i="6" s="1"/>
  <c r="K175" i="12"/>
  <c r="Y171" i="12"/>
  <c r="W171" i="12" s="1"/>
  <c r="M174" i="6"/>
  <c r="BD174" i="6" s="1"/>
  <c r="H175" i="6"/>
  <c r="T175" i="5" s="1"/>
  <c r="W170" i="12"/>
  <c r="X170" i="12"/>
  <c r="L173" i="5"/>
  <c r="AM173" i="5"/>
  <c r="I173" i="12"/>
  <c r="Z173" i="5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AB172" i="5"/>
  <c r="G174" i="12"/>
  <c r="X174" i="5"/>
  <c r="L176" i="12"/>
  <c r="J176" i="12"/>
  <c r="D176" i="6"/>
  <c r="C172" i="6"/>
  <c r="C172" i="12"/>
  <c r="O172" i="12"/>
  <c r="AO172" i="12"/>
  <c r="M172" i="12"/>
  <c r="F176" i="12" l="1"/>
  <c r="AM174" i="6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A178" i="12"/>
  <c r="C179" i="5"/>
  <c r="F178" i="5"/>
  <c r="D177" i="6"/>
  <c r="J177" i="12"/>
  <c r="L177" i="12"/>
  <c r="A176" i="6"/>
  <c r="N176" i="6" s="1"/>
  <c r="C173" i="12"/>
  <c r="AO173" i="12"/>
  <c r="O173" i="12"/>
  <c r="M173" i="12"/>
  <c r="C173" i="6"/>
  <c r="V171" i="12"/>
  <c r="T171" i="12"/>
  <c r="U171" i="12"/>
  <c r="G175" i="12"/>
  <c r="X175" i="5"/>
  <c r="N172" i="12"/>
  <c r="K176" i="12"/>
  <c r="AB173" i="5"/>
  <c r="T170" i="12"/>
  <c r="V170" i="12"/>
  <c r="U170" i="12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K177" i="12"/>
  <c r="Y173" i="12"/>
  <c r="X173" i="12" s="1"/>
  <c r="L178" i="12"/>
  <c r="J178" i="12"/>
  <c r="AB174" i="5"/>
  <c r="G176" i="12"/>
  <c r="X176" i="5"/>
  <c r="A177" i="6"/>
  <c r="N177" i="6" s="1"/>
  <c r="AM175" i="5"/>
  <c r="I175" i="12"/>
  <c r="L175" i="5"/>
  <c r="Z175" i="5"/>
  <c r="N173" i="12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F179" i="5"/>
  <c r="AE179" i="5"/>
  <c r="AD179" i="5"/>
  <c r="D179" i="5"/>
  <c r="B179" i="12" s="1"/>
  <c r="H179" i="5"/>
  <c r="E179" i="5"/>
  <c r="D178" i="6"/>
  <c r="C174" i="12"/>
  <c r="M174" i="12"/>
  <c r="AO174" i="12"/>
  <c r="O174" i="12"/>
  <c r="C174" i="6"/>
  <c r="M176" i="6"/>
  <c r="N174" i="12" l="1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D179" i="6"/>
  <c r="A180" i="12"/>
  <c r="K180" i="5"/>
  <c r="J180" i="5"/>
  <c r="H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C175" i="12"/>
  <c r="M175" i="12"/>
  <c r="O175" i="12"/>
  <c r="AO175" i="12"/>
  <c r="AG176" i="6"/>
  <c r="I176" i="12"/>
  <c r="AM176" i="5"/>
  <c r="L176" i="5"/>
  <c r="Z176" i="5"/>
  <c r="A178" i="6"/>
  <c r="M178" i="6" s="1"/>
  <c r="AK176" i="6"/>
  <c r="AE176" i="6"/>
  <c r="J179" i="12"/>
  <c r="L179" i="12"/>
  <c r="G177" i="12"/>
  <c r="X177" i="5"/>
  <c r="C175" i="6"/>
  <c r="AJ176" i="6"/>
  <c r="AB176" i="6"/>
  <c r="K178" i="12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AB176" i="5"/>
  <c r="C176" i="6"/>
  <c r="C176" i="12"/>
  <c r="M176" i="12"/>
  <c r="O176" i="12"/>
  <c r="AO176" i="12"/>
  <c r="A179" i="6"/>
  <c r="M179" i="6" s="1"/>
  <c r="BF179" i="6" s="1"/>
  <c r="H179" i="6"/>
  <c r="T179" i="5" s="1"/>
  <c r="G178" i="12"/>
  <c r="X178" i="5"/>
  <c r="AM177" i="5"/>
  <c r="L177" i="5"/>
  <c r="I177" i="12"/>
  <c r="Z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W181" i="5"/>
  <c r="H181" i="12" s="1"/>
  <c r="F181" i="5"/>
  <c r="D180" i="6"/>
  <c r="J180" i="12"/>
  <c r="L180" i="12"/>
  <c r="AI178" i="6"/>
  <c r="AJ178" i="6"/>
  <c r="N178" i="6"/>
  <c r="AE178" i="6"/>
  <c r="AK178" i="6"/>
  <c r="T174" i="12" l="1"/>
  <c r="N179" i="6"/>
  <c r="U174" i="12"/>
  <c r="A180" i="6"/>
  <c r="M180" i="6" s="1"/>
  <c r="W175" i="12"/>
  <c r="V175" i="12" s="1"/>
  <c r="AS179" i="6"/>
  <c r="BG179" i="6"/>
  <c r="AB179" i="6"/>
  <c r="AY179" i="6"/>
  <c r="BB179" i="6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J181" i="12"/>
  <c r="L181" i="12"/>
  <c r="D181" i="6"/>
  <c r="AB177" i="5"/>
  <c r="C177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C177" i="12"/>
  <c r="AO177" i="12"/>
  <c r="M177" i="12"/>
  <c r="O177" i="12"/>
  <c r="L178" i="5"/>
  <c r="AM178" i="5"/>
  <c r="I178" i="12"/>
  <c r="Z178" i="5"/>
  <c r="G179" i="12"/>
  <c r="X179" i="5"/>
  <c r="AD179" i="6"/>
  <c r="AE179" i="6"/>
  <c r="AF179" i="6"/>
  <c r="N176" i="12"/>
  <c r="T175" i="12" l="1"/>
  <c r="N180" i="6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AM180" i="6"/>
  <c r="AN180" i="6"/>
  <c r="AC180" i="6"/>
  <c r="AF180" i="6"/>
  <c r="AI180" i="6"/>
  <c r="K181" i="12"/>
  <c r="AB178" i="5"/>
  <c r="C178" i="12"/>
  <c r="M178" i="12"/>
  <c r="AO178" i="12"/>
  <c r="O178" i="12"/>
  <c r="C178" i="6"/>
  <c r="C184" i="5"/>
  <c r="G183" i="5"/>
  <c r="K183" i="5"/>
  <c r="B183" i="5"/>
  <c r="W183" i="5"/>
  <c r="H183" i="12" s="1"/>
  <c r="E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T176" i="12"/>
  <c r="H181" i="6"/>
  <c r="T181" i="5" s="1"/>
  <c r="I179" i="12"/>
  <c r="L179" i="5"/>
  <c r="AM179" i="5"/>
  <c r="Z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AF183" i="5"/>
  <c r="N178" i="12" l="1"/>
  <c r="V176" i="12"/>
  <c r="A182" i="6"/>
  <c r="N182" i="6" s="1"/>
  <c r="K182" i="12"/>
  <c r="X177" i="12"/>
  <c r="W177" i="12"/>
  <c r="AB179" i="5"/>
  <c r="C179" i="6"/>
  <c r="M181" i="6"/>
  <c r="N181" i="6"/>
  <c r="D183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L183" i="12"/>
  <c r="J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C185" i="5"/>
  <c r="E184" i="5"/>
  <c r="B184" i="5"/>
  <c r="Y178" i="12"/>
  <c r="AF184" i="5"/>
  <c r="S183" i="5"/>
  <c r="R183" i="5"/>
  <c r="AG183" i="5"/>
  <c r="AF185" i="5"/>
  <c r="F183" i="6" l="1"/>
  <c r="E183" i="12"/>
  <c r="F183" i="12"/>
  <c r="M182" i="6"/>
  <c r="AP182" i="6" s="1"/>
  <c r="AG185" i="5"/>
  <c r="S185" i="5"/>
  <c r="F185" i="12" s="1"/>
  <c r="K183" i="12"/>
  <c r="J184" i="12"/>
  <c r="L184" i="12"/>
  <c r="D184" i="6"/>
  <c r="C180" i="6"/>
  <c r="H183" i="6"/>
  <c r="T183" i="5" s="1"/>
  <c r="G183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R186" i="5" s="1"/>
  <c r="W185" i="5"/>
  <c r="H185" i="12" s="1"/>
  <c r="K185" i="5"/>
  <c r="AB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S184" i="5"/>
  <c r="R184" i="5"/>
  <c r="AG184" i="5"/>
  <c r="AF186" i="5"/>
  <c r="F184" i="6" l="1"/>
  <c r="E184" i="12"/>
  <c r="F184" i="12"/>
  <c r="AH182" i="6"/>
  <c r="AB182" i="6"/>
  <c r="AE182" i="6"/>
  <c r="AV182" i="6"/>
  <c r="BE182" i="6"/>
  <c r="AU182" i="6"/>
  <c r="BB182" i="6"/>
  <c r="AO182" i="6"/>
  <c r="BD182" i="6"/>
  <c r="BF182" i="6"/>
  <c r="AZ182" i="6"/>
  <c r="BA182" i="6"/>
  <c r="AY182" i="6"/>
  <c r="AQ182" i="6"/>
  <c r="AG182" i="6"/>
  <c r="AX182" i="6"/>
  <c r="AJ182" i="6"/>
  <c r="AT182" i="6"/>
  <c r="AN182" i="6"/>
  <c r="BG182" i="6"/>
  <c r="AC182" i="6"/>
  <c r="AS182" i="6"/>
  <c r="AI182" i="6"/>
  <c r="AF182" i="6"/>
  <c r="AK182" i="6"/>
  <c r="AM182" i="6"/>
  <c r="BC182" i="6"/>
  <c r="AD182" i="6"/>
  <c r="AR182" i="6"/>
  <c r="N180" i="12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B181" i="5"/>
  <c r="C181" i="6"/>
  <c r="C187" i="5"/>
  <c r="G186" i="5"/>
  <c r="AD186" i="5"/>
  <c r="E186" i="5"/>
  <c r="F186" i="5"/>
  <c r="A186" i="12"/>
  <c r="AE186" i="5"/>
  <c r="B186" i="5"/>
  <c r="H186" i="5"/>
  <c r="N186" i="5"/>
  <c r="W186" i="5"/>
  <c r="H186" i="12" s="1"/>
  <c r="B186" i="6"/>
  <c r="T178" i="12"/>
  <c r="U178" i="12"/>
  <c r="V178" i="12"/>
  <c r="N183" i="6"/>
  <c r="G184" i="6"/>
  <c r="H184" i="6"/>
  <c r="T184" i="5" s="1"/>
  <c r="AM182" i="5"/>
  <c r="L182" i="5"/>
  <c r="I182" i="12"/>
  <c r="Z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B182" i="5"/>
  <c r="C182" i="12"/>
  <c r="AO182" i="12"/>
  <c r="O182" i="12"/>
  <c r="M182" i="12"/>
  <c r="M184" i="6"/>
  <c r="AF184" i="6" s="1"/>
  <c r="D186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G184" i="12"/>
  <c r="X184" i="5"/>
  <c r="N184" i="6"/>
  <c r="E186" i="12"/>
  <c r="F186" i="6"/>
  <c r="F187" i="5"/>
  <c r="B187" i="5"/>
  <c r="B187" i="6"/>
  <c r="W187" i="5"/>
  <c r="H187" i="12" s="1"/>
  <c r="H187" i="5"/>
  <c r="E187" i="5"/>
  <c r="A187" i="12"/>
  <c r="R187" i="5"/>
  <c r="AD187" i="5"/>
  <c r="AE187" i="5"/>
  <c r="G187" i="5"/>
  <c r="N187" i="5"/>
  <c r="C188" i="5"/>
  <c r="T180" i="12"/>
  <c r="U180" i="12"/>
  <c r="V180" i="12"/>
  <c r="N185" i="6" l="1"/>
  <c r="A186" i="6"/>
  <c r="N186" i="6" s="1"/>
  <c r="AK184" i="6"/>
  <c r="N182" i="12"/>
  <c r="AF185" i="6"/>
  <c r="AO185" i="6"/>
  <c r="BC185" i="6"/>
  <c r="AD185" i="6"/>
  <c r="AY185" i="6"/>
  <c r="AU185" i="6"/>
  <c r="AQ185" i="6"/>
  <c r="C189" i="5"/>
  <c r="F188" i="5"/>
  <c r="J188" i="5"/>
  <c r="G188" i="5"/>
  <c r="N188" i="5"/>
  <c r="AE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AG184" i="6"/>
  <c r="L184" i="5"/>
  <c r="I184" i="12"/>
  <c r="AM184" i="5"/>
  <c r="Z184" i="5"/>
  <c r="AC184" i="5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G186" i="6"/>
  <c r="M186" i="6"/>
  <c r="AN186" i="6" s="1"/>
  <c r="H186" i="6"/>
  <c r="T186" i="5" s="1"/>
  <c r="Y182" i="12"/>
  <c r="A187" i="6" l="1"/>
  <c r="M187" i="6" s="1"/>
  <c r="AU187" i="6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AB184" i="5"/>
  <c r="C184" i="6"/>
  <c r="L188" i="12"/>
  <c r="J188" i="12"/>
  <c r="X182" i="12"/>
  <c r="W182" i="12"/>
  <c r="AB186" i="6"/>
  <c r="BE186" i="6"/>
  <c r="AY186" i="6"/>
  <c r="G186" i="12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H187" i="6"/>
  <c r="T187" i="5" s="1"/>
  <c r="G187" i="6"/>
  <c r="Y183" i="12"/>
  <c r="I185" i="12"/>
  <c r="AM185" i="5"/>
  <c r="L185" i="5"/>
  <c r="Z185" i="5"/>
  <c r="AC185" i="5"/>
  <c r="D188" i="6"/>
  <c r="F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N187" i="6" l="1"/>
  <c r="Y184" i="12"/>
  <c r="W184" i="12" s="1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H188" i="6"/>
  <c r="T188" i="5" s="1"/>
  <c r="AA185" i="5"/>
  <c r="AB185" i="5"/>
  <c r="X183" i="12"/>
  <c r="W183" i="12"/>
  <c r="G187" i="12"/>
  <c r="T182" i="12"/>
  <c r="V182" i="12"/>
  <c r="U182" i="12"/>
  <c r="K188" i="12"/>
  <c r="D190" i="5"/>
  <c r="B190" i="12" s="1"/>
  <c r="B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A188" i="6"/>
  <c r="N188" i="6" s="1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X184" i="12" l="1"/>
  <c r="N185" i="12"/>
  <c r="A189" i="6"/>
  <c r="V184" i="12"/>
  <c r="T184" i="12"/>
  <c r="U184" i="12"/>
  <c r="G188" i="12"/>
  <c r="X188" i="5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K191" i="5"/>
  <c r="L190" i="12"/>
  <c r="J190" i="12"/>
  <c r="D190" i="6"/>
  <c r="V183" i="12"/>
  <c r="U183" i="12"/>
  <c r="T183" i="12"/>
  <c r="M188" i="6"/>
  <c r="AG188" i="6" s="1"/>
  <c r="K189" i="12"/>
  <c r="H189" i="6"/>
  <c r="T189" i="5" s="1"/>
  <c r="M189" i="6" l="1"/>
  <c r="AY189" i="6" s="1"/>
  <c r="N189" i="6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H190" i="6"/>
  <c r="T190" i="5" s="1"/>
  <c r="D191" i="6"/>
  <c r="L191" i="12"/>
  <c r="J191" i="12"/>
  <c r="X185" i="12"/>
  <c r="W185" i="12"/>
  <c r="AF188" i="6"/>
  <c r="AM188" i="5"/>
  <c r="L188" i="5"/>
  <c r="I188" i="12"/>
  <c r="Z188" i="5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K192" i="5"/>
  <c r="G192" i="5"/>
  <c r="B192" i="6"/>
  <c r="F192" i="5"/>
  <c r="J192" i="5"/>
  <c r="C193" i="5"/>
  <c r="AE188" i="6"/>
  <c r="AH188" i="6"/>
  <c r="A190" i="6"/>
  <c r="N190" i="6" s="1"/>
  <c r="BA189" i="6" l="1"/>
  <c r="AE189" i="6"/>
  <c r="AK189" i="6"/>
  <c r="AH189" i="6"/>
  <c r="AB189" i="6"/>
  <c r="AG189" i="6"/>
  <c r="BC189" i="6"/>
  <c r="AF189" i="6"/>
  <c r="BB189" i="6"/>
  <c r="AP189" i="6"/>
  <c r="AC189" i="6"/>
  <c r="AS189" i="6"/>
  <c r="AQ189" i="6"/>
  <c r="AD189" i="6"/>
  <c r="AR189" i="6"/>
  <c r="AM189" i="6"/>
  <c r="BD189" i="6"/>
  <c r="AI189" i="6"/>
  <c r="AO189" i="6"/>
  <c r="AJ189" i="6"/>
  <c r="BF189" i="6"/>
  <c r="AN189" i="6"/>
  <c r="BE189" i="6"/>
  <c r="AX189" i="6"/>
  <c r="AV189" i="6"/>
  <c r="AZ189" i="6"/>
  <c r="AT189" i="6"/>
  <c r="BG189" i="6"/>
  <c r="AU189" i="6"/>
  <c r="D192" i="6"/>
  <c r="A191" i="6"/>
  <c r="C188" i="6"/>
  <c r="M190" i="6"/>
  <c r="AM189" i="5"/>
  <c r="L189" i="5"/>
  <c r="I189" i="12"/>
  <c r="Z189" i="5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L192" i="12"/>
  <c r="J192" i="12"/>
  <c r="AB188" i="5"/>
  <c r="C188" i="12"/>
  <c r="M188" i="12"/>
  <c r="O188" i="12"/>
  <c r="AO188" i="12"/>
  <c r="T185" i="12"/>
  <c r="V185" i="12"/>
  <c r="U185" i="12"/>
  <c r="K191" i="12"/>
  <c r="H191" i="6"/>
  <c r="T191" i="5" s="1"/>
  <c r="G190" i="12"/>
  <c r="X190" i="5"/>
  <c r="A192" i="6" l="1"/>
  <c r="N192" i="6" s="1"/>
  <c r="K192" i="12"/>
  <c r="Y188" i="12"/>
  <c r="W188" i="12" s="1"/>
  <c r="L190" i="5"/>
  <c r="AM190" i="5"/>
  <c r="I190" i="12"/>
  <c r="Z190" i="5"/>
  <c r="G191" i="12"/>
  <c r="X191" i="5"/>
  <c r="L193" i="12"/>
  <c r="J193" i="12"/>
  <c r="D193" i="6"/>
  <c r="AB189" i="5"/>
  <c r="C189" i="12"/>
  <c r="O189" i="12"/>
  <c r="AO189" i="12"/>
  <c r="M189" i="12"/>
  <c r="H192" i="6"/>
  <c r="T192" i="5" s="1"/>
  <c r="M191" i="6"/>
  <c r="AF191" i="6" s="1"/>
  <c r="N191" i="6"/>
  <c r="N188" i="12"/>
  <c r="AE194" i="5"/>
  <c r="AD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M192" i="6" l="1"/>
  <c r="BC192" i="6" s="1"/>
  <c r="X188" i="12"/>
  <c r="Y189" i="12"/>
  <c r="W189" i="12" s="1"/>
  <c r="K193" i="12"/>
  <c r="AD191" i="6"/>
  <c r="AC191" i="6"/>
  <c r="AE191" i="6"/>
  <c r="AI191" i="6"/>
  <c r="AG191" i="6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H195" i="5"/>
  <c r="D195" i="5"/>
  <c r="B195" i="12" s="1"/>
  <c r="A195" i="12"/>
  <c r="J195" i="5"/>
  <c r="I191" i="12"/>
  <c r="AM191" i="5"/>
  <c r="L191" i="5"/>
  <c r="Z191" i="5"/>
  <c r="AB190" i="5"/>
  <c r="L194" i="12"/>
  <c r="J194" i="12"/>
  <c r="D194" i="6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H193" i="6"/>
  <c r="T193" i="5" s="1"/>
  <c r="A193" i="6"/>
  <c r="T188" i="12"/>
  <c r="V188" i="12"/>
  <c r="U188" i="12"/>
  <c r="C190" i="12"/>
  <c r="M190" i="12"/>
  <c r="AO190" i="12"/>
  <c r="O190" i="12"/>
  <c r="C190" i="6"/>
  <c r="A194" i="6" l="1"/>
  <c r="N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K194" i="12"/>
  <c r="N193" i="6"/>
  <c r="M193" i="6"/>
  <c r="AE193" i="6" s="1"/>
  <c r="L192" i="5"/>
  <c r="AM192" i="5"/>
  <c r="I192" i="12"/>
  <c r="Z192" i="5"/>
  <c r="AB191" i="5"/>
  <c r="L195" i="12"/>
  <c r="J195" i="12"/>
  <c r="G196" i="5"/>
  <c r="K196" i="5"/>
  <c r="B196" i="5"/>
  <c r="N196" i="5"/>
  <c r="B196" i="6"/>
  <c r="J196" i="5"/>
  <c r="A196" i="12"/>
  <c r="E196" i="5"/>
  <c r="F196" i="5"/>
  <c r="H196" i="5"/>
  <c r="AD196" i="5"/>
  <c r="C197" i="5"/>
  <c r="D196" i="5"/>
  <c r="B196" i="12" s="1"/>
  <c r="AE196" i="5"/>
  <c r="W196" i="5"/>
  <c r="H196" i="12" s="1"/>
  <c r="G193" i="12"/>
  <c r="X193" i="5"/>
  <c r="H194" i="6"/>
  <c r="T194" i="5" s="1"/>
  <c r="C191" i="6"/>
  <c r="C191" i="12"/>
  <c r="M191" i="12"/>
  <c r="O191" i="12"/>
  <c r="AO191" i="12"/>
  <c r="T189" i="12"/>
  <c r="U189" i="12"/>
  <c r="V189" i="12"/>
  <c r="D195" i="6"/>
  <c r="M194" i="6" l="1"/>
  <c r="AR194" i="6" s="1"/>
  <c r="W190" i="12"/>
  <c r="U190" i="12" s="1"/>
  <c r="N191" i="12"/>
  <c r="H195" i="6"/>
  <c r="T195" i="5" s="1"/>
  <c r="G194" i="12"/>
  <c r="X194" i="5"/>
  <c r="J196" i="12"/>
  <c r="L196" i="12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N195" i="6" s="1"/>
  <c r="Y191" i="12"/>
  <c r="AC193" i="6"/>
  <c r="I193" i="12"/>
  <c r="L193" i="5"/>
  <c r="AM193" i="5"/>
  <c r="Z193" i="5"/>
  <c r="K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D196" i="6"/>
  <c r="K195" i="12"/>
  <c r="C192" i="12"/>
  <c r="M192" i="12"/>
  <c r="AO192" i="12"/>
  <c r="O192" i="12"/>
  <c r="C192" i="6"/>
  <c r="AI194" i="6" l="1"/>
  <c r="AD194" i="6"/>
  <c r="AE194" i="6"/>
  <c r="BG194" i="6"/>
  <c r="BD194" i="6"/>
  <c r="AS194" i="6"/>
  <c r="AV194" i="6"/>
  <c r="AT194" i="6"/>
  <c r="AC194" i="6"/>
  <c r="BC194" i="6"/>
  <c r="AP194" i="6"/>
  <c r="AK194" i="6"/>
  <c r="AM194" i="6"/>
  <c r="AF194" i="6"/>
  <c r="BA194" i="6"/>
  <c r="BB194" i="6"/>
  <c r="AB194" i="6"/>
  <c r="BF194" i="6"/>
  <c r="AU194" i="6"/>
  <c r="AY194" i="6"/>
  <c r="AO194" i="6"/>
  <c r="AN194" i="6"/>
  <c r="AH194" i="6"/>
  <c r="AG194" i="6"/>
  <c r="AJ194" i="6"/>
  <c r="BE194" i="6"/>
  <c r="AZ194" i="6"/>
  <c r="AQ194" i="6"/>
  <c r="AX194" i="6"/>
  <c r="V190" i="12"/>
  <c r="T190" i="12"/>
  <c r="N192" i="12"/>
  <c r="K196" i="12"/>
  <c r="A196" i="6"/>
  <c r="N196" i="6" s="1"/>
  <c r="M195" i="6"/>
  <c r="AF195" i="6" s="1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C193" i="12"/>
  <c r="AO193" i="12"/>
  <c r="M193" i="12"/>
  <c r="O193" i="12"/>
  <c r="X191" i="12"/>
  <c r="W191" i="12"/>
  <c r="I194" i="12"/>
  <c r="L194" i="5"/>
  <c r="AM194" i="5"/>
  <c r="Z194" i="5"/>
  <c r="Y192" i="12"/>
  <c r="H196" i="6"/>
  <c r="T196" i="5" s="1"/>
  <c r="D197" i="6"/>
  <c r="AB193" i="5"/>
  <c r="C193" i="6"/>
  <c r="G195" i="12"/>
  <c r="X195" i="5"/>
  <c r="AF198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H197" i="6"/>
  <c r="T197" i="5" s="1"/>
  <c r="AB194" i="5"/>
  <c r="C194" i="6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G196" i="12"/>
  <c r="X196" i="5"/>
  <c r="X192" i="12"/>
  <c r="W192" i="12"/>
  <c r="C194" i="12"/>
  <c r="O194" i="12"/>
  <c r="M194" i="12"/>
  <c r="AO194" i="12"/>
  <c r="D198" i="6"/>
  <c r="K197" i="12"/>
  <c r="R198" i="5"/>
  <c r="AG198" i="5"/>
  <c r="S198" i="5"/>
  <c r="AF200" i="5"/>
  <c r="F198" i="12" l="1"/>
  <c r="E198" i="12"/>
  <c r="F198" i="6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M197" i="6"/>
  <c r="AF197" i="6" s="1"/>
  <c r="N197" i="6"/>
  <c r="H198" i="6"/>
  <c r="T198" i="5" s="1"/>
  <c r="G198" i="6"/>
  <c r="AB195" i="5"/>
  <c r="C195" i="12"/>
  <c r="AO195" i="12"/>
  <c r="M195" i="12"/>
  <c r="O195" i="12"/>
  <c r="C195" i="6"/>
  <c r="E199" i="12"/>
  <c r="F199" i="6"/>
  <c r="L199" i="12"/>
  <c r="J199" i="12"/>
  <c r="G197" i="12"/>
  <c r="X197" i="5"/>
  <c r="AF201" i="5"/>
  <c r="X194" i="12" l="1"/>
  <c r="AJ198" i="6"/>
  <c r="N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B196" i="5"/>
  <c r="C196" i="6"/>
  <c r="U194" i="12"/>
  <c r="T194" i="12"/>
  <c r="V194" i="12"/>
  <c r="AJ197" i="6"/>
  <c r="AM197" i="5"/>
  <c r="L197" i="5"/>
  <c r="I197" i="12"/>
  <c r="Z197" i="5"/>
  <c r="A199" i="6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B201" i="5"/>
  <c r="C202" i="5" s="1"/>
  <c r="R202" i="5" s="1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E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9" i="6"/>
  <c r="N196" i="12"/>
  <c r="Y196" i="12"/>
  <c r="AB197" i="5"/>
  <c r="C197" i="6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N200" i="6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C198" i="6"/>
  <c r="F202" i="6"/>
  <c r="E202" i="12"/>
  <c r="G200" i="12"/>
  <c r="X200" i="5"/>
  <c r="AE199" i="6"/>
  <c r="L199" i="5"/>
  <c r="AM199" i="5"/>
  <c r="I199" i="12"/>
  <c r="Z199" i="5"/>
  <c r="AC199" i="5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E203" i="5"/>
  <c r="AE203" i="5"/>
  <c r="B203" i="5"/>
  <c r="W203" i="5"/>
  <c r="H203" i="12" s="1"/>
  <c r="N203" i="5"/>
  <c r="H203" i="5"/>
  <c r="AD203" i="5"/>
  <c r="D202" i="6"/>
  <c r="H201" i="6"/>
  <c r="T201" i="5" s="1"/>
  <c r="G201" i="6"/>
  <c r="AC200" i="6" l="1"/>
  <c r="X197" i="12"/>
  <c r="BG200" i="6"/>
  <c r="AK200" i="6"/>
  <c r="N201" i="6"/>
  <c r="A202" i="6"/>
  <c r="M202" i="6" s="1"/>
  <c r="BB200" i="6"/>
  <c r="AF200" i="6"/>
  <c r="AT200" i="6"/>
  <c r="AJ200" i="6"/>
  <c r="AO200" i="6"/>
  <c r="AZ200" i="6"/>
  <c r="BC200" i="6"/>
  <c r="AU201" i="6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D203" i="6"/>
  <c r="B204" i="6"/>
  <c r="J204" i="5"/>
  <c r="W204" i="5"/>
  <c r="H204" i="12" s="1"/>
  <c r="AD204" i="5"/>
  <c r="AE204" i="5"/>
  <c r="H204" i="5"/>
  <c r="A204" i="12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U197" i="12"/>
  <c r="V197" i="12"/>
  <c r="T197" i="12"/>
  <c r="AF205" i="5"/>
  <c r="W198" i="12" l="1"/>
  <c r="T198" i="12" s="1"/>
  <c r="AU202" i="6"/>
  <c r="AQ202" i="6"/>
  <c r="N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G203" i="6"/>
  <c r="H203" i="6"/>
  <c r="T203" i="5" s="1"/>
  <c r="G202" i="12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N203" i="6" s="1"/>
  <c r="AF206" i="5"/>
  <c r="V198" i="12" l="1"/>
  <c r="X199" i="12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H204" i="6"/>
  <c r="T204" i="5" s="1"/>
  <c r="C201" i="6"/>
  <c r="O201" i="5"/>
  <c r="V199" i="12"/>
  <c r="T199" i="12"/>
  <c r="U199" i="12"/>
  <c r="D200" i="12"/>
  <c r="E200" i="6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AF207" i="5"/>
  <c r="N201" i="12" l="1"/>
  <c r="AG203" i="6"/>
  <c r="A205" i="6"/>
  <c r="AG207" i="5"/>
  <c r="S207" i="5"/>
  <c r="F207" i="12" s="1"/>
  <c r="Y201" i="12"/>
  <c r="W201" i="12" s="1"/>
  <c r="X200" i="12"/>
  <c r="W200" i="12"/>
  <c r="G205" i="6"/>
  <c r="H205" i="6"/>
  <c r="T205" i="5" s="1"/>
  <c r="F206" i="6"/>
  <c r="E206" i="12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D201" i="12"/>
  <c r="E201" i="6"/>
  <c r="M204" i="6"/>
  <c r="N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M205" i="6" l="1"/>
  <c r="AX205" i="6" s="1"/>
  <c r="N205" i="6"/>
  <c r="X201" i="12"/>
  <c r="S208" i="5"/>
  <c r="F208" i="12" s="1"/>
  <c r="AG208" i="5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G205" i="12"/>
  <c r="X205" i="5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206" i="6"/>
  <c r="V201" i="12"/>
  <c r="U201" i="12"/>
  <c r="T201" i="12"/>
  <c r="AF209" i="5"/>
  <c r="AN205" i="6" l="1"/>
  <c r="AT205" i="6"/>
  <c r="AZ205" i="6"/>
  <c r="BE205" i="6"/>
  <c r="BG205" i="6"/>
  <c r="BD205" i="6"/>
  <c r="BA205" i="6"/>
  <c r="AR205" i="6"/>
  <c r="AH205" i="6"/>
  <c r="AV205" i="6"/>
  <c r="AI205" i="6"/>
  <c r="AJ205" i="6"/>
  <c r="AG205" i="6"/>
  <c r="AK205" i="6"/>
  <c r="AQ205" i="6"/>
  <c r="AY205" i="6"/>
  <c r="AU205" i="6"/>
  <c r="AF205" i="6"/>
  <c r="AM205" i="6"/>
  <c r="AB205" i="6"/>
  <c r="BB205" i="6"/>
  <c r="AD205" i="6"/>
  <c r="AS205" i="6"/>
  <c r="AE205" i="6"/>
  <c r="AP205" i="6"/>
  <c r="AC205" i="6"/>
  <c r="BF205" i="6"/>
  <c r="AO205" i="6"/>
  <c r="BC205" i="6"/>
  <c r="S209" i="5"/>
  <c r="F209" i="12" s="1"/>
  <c r="AG209" i="5"/>
  <c r="A207" i="6"/>
  <c r="M207" i="6" s="1"/>
  <c r="G206" i="12"/>
  <c r="X206" i="5"/>
  <c r="H207" i="6"/>
  <c r="T207" i="5" s="1"/>
  <c r="G207" i="6"/>
  <c r="AB204" i="5"/>
  <c r="C204" i="6"/>
  <c r="J208" i="12"/>
  <c r="L208" i="12"/>
  <c r="N206" i="6"/>
  <c r="M206" i="6"/>
  <c r="AM205" i="5"/>
  <c r="L205" i="5"/>
  <c r="I205" i="12"/>
  <c r="Z205" i="5"/>
  <c r="AC205" i="5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N207" i="6"/>
  <c r="AG207" i="6"/>
  <c r="AC207" i="6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N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V205" i="12" s="1"/>
  <c r="Y206" i="12"/>
  <c r="X206" i="12" s="1"/>
  <c r="S212" i="5"/>
  <c r="F212" i="12" s="1"/>
  <c r="AG212" i="5"/>
  <c r="N209" i="6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W206" i="12"/>
  <c r="N206" i="12"/>
  <c r="A210" i="6"/>
  <c r="M210" i="6" s="1"/>
  <c r="T205" i="12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U205" i="12" l="1"/>
  <c r="AG213" i="5"/>
  <c r="S213" i="5"/>
  <c r="F213" i="12" s="1"/>
  <c r="A211" i="6"/>
  <c r="N211" i="6" s="1"/>
  <c r="Y207" i="12"/>
  <c r="X207" i="12" s="1"/>
  <c r="AV210" i="6"/>
  <c r="BC210" i="6"/>
  <c r="AG210" i="6"/>
  <c r="AS210" i="6"/>
  <c r="AD210" i="6"/>
  <c r="BF210" i="6"/>
  <c r="BD210" i="6"/>
  <c r="N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N208" i="12" l="1"/>
  <c r="M211" i="6"/>
  <c r="AT211" i="6" s="1"/>
  <c r="A212" i="6"/>
  <c r="M212" i="6" s="1"/>
  <c r="AR212" i="6" s="1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N212" i="6" l="1"/>
  <c r="AD211" i="6"/>
  <c r="AH211" i="6"/>
  <c r="AE211" i="6"/>
  <c r="AV211" i="6"/>
  <c r="AX211" i="6"/>
  <c r="AZ211" i="6"/>
  <c r="AB211" i="6"/>
  <c r="BC211" i="6"/>
  <c r="AU211" i="6"/>
  <c r="BA211" i="6"/>
  <c r="AO211" i="6"/>
  <c r="AI211" i="6"/>
  <c r="BF211" i="6"/>
  <c r="AF211" i="6"/>
  <c r="AM211" i="6"/>
  <c r="AQ211" i="6"/>
  <c r="AP211" i="6"/>
  <c r="AJ211" i="6"/>
  <c r="BB211" i="6"/>
  <c r="AK211" i="6"/>
  <c r="AN211" i="6"/>
  <c r="AY211" i="6"/>
  <c r="BD211" i="6"/>
  <c r="AR211" i="6"/>
  <c r="AC211" i="6"/>
  <c r="AS211" i="6"/>
  <c r="BE211" i="6"/>
  <c r="AG211" i="6"/>
  <c r="BG211" i="6"/>
  <c r="W208" i="12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N213" i="6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N214" i="6"/>
  <c r="A215" i="6"/>
  <c r="N215" i="6" s="1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N216" i="6" s="1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N217" i="6" s="1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N218" i="6" l="1"/>
  <c r="AV217" i="6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N219" i="6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N220" i="6" s="1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N221" i="6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N222" i="6" s="1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N223" i="6" s="1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N224" i="6" s="1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N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X222" i="12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S229" i="5" l="1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N226" i="6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N227" i="6" s="1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W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N228" i="6" l="1"/>
  <c r="X224" i="12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T224" i="12"/>
  <c r="U224" i="12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X225" i="12" l="1"/>
  <c r="A230" i="6"/>
  <c r="N230" i="6" s="1"/>
  <c r="N229" i="6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M230" i="6" l="1"/>
  <c r="AR230" i="6" s="1"/>
  <c r="X226" i="12"/>
  <c r="A231" i="6"/>
  <c r="M231" i="6" s="1"/>
  <c r="AQ231" i="6" s="1"/>
  <c r="AG233" i="5"/>
  <c r="S233" i="5"/>
  <c r="F233" i="12" s="1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F234" i="5"/>
  <c r="AG230" i="6" l="1"/>
  <c r="AB230" i="6"/>
  <c r="AJ230" i="6"/>
  <c r="AD230" i="6"/>
  <c r="BA230" i="6"/>
  <c r="BF230" i="6"/>
  <c r="AE230" i="6"/>
  <c r="AH230" i="6"/>
  <c r="AY230" i="6"/>
  <c r="AM230" i="6"/>
  <c r="AK230" i="6"/>
  <c r="AI230" i="6"/>
  <c r="AN230" i="6"/>
  <c r="AZ230" i="6"/>
  <c r="AC230" i="6"/>
  <c r="AO230" i="6"/>
  <c r="AQ230" i="6"/>
  <c r="AX230" i="6"/>
  <c r="BD230" i="6"/>
  <c r="AP230" i="6"/>
  <c r="BC230" i="6"/>
  <c r="AU230" i="6"/>
  <c r="AV230" i="6"/>
  <c r="BG230" i="6"/>
  <c r="AT230" i="6"/>
  <c r="BB230" i="6"/>
  <c r="AF230" i="6"/>
  <c r="BE230" i="6"/>
  <c r="AS230" i="6"/>
  <c r="A232" i="6"/>
  <c r="M232" i="6" s="1"/>
  <c r="AM232" i="6" s="1"/>
  <c r="N231" i="6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N232" i="6" l="1"/>
  <c r="Y229" i="12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N233" i="6" s="1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N234" i="6" s="1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N235" i="6" s="1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N234" i="6" l="1"/>
  <c r="AM234" i="6"/>
  <c r="AE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N236" i="6" s="1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B239" i="5"/>
  <c r="C240" i="5" s="1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N238" i="6" s="1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N237" i="6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N240" i="5"/>
  <c r="E240" i="5"/>
  <c r="B240" i="6"/>
  <c r="B240" i="5"/>
  <c r="C241" i="5"/>
  <c r="AE240" i="5"/>
  <c r="A240" i="12"/>
  <c r="W240" i="5"/>
  <c r="H240" i="12" s="1"/>
  <c r="AD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E241" i="5"/>
  <c r="AE241" i="5"/>
  <c r="N241" i="5"/>
  <c r="B241" i="5"/>
  <c r="C242" i="5"/>
  <c r="F241" i="5"/>
  <c r="W241" i="5"/>
  <c r="H241" i="12" s="1"/>
  <c r="B241" i="6"/>
  <c r="A241" i="12"/>
  <c r="H241" i="5"/>
  <c r="G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N239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N240" i="6" s="1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N236" i="12"/>
  <c r="AM238" i="5"/>
  <c r="L238" i="5"/>
  <c r="I238" i="12"/>
  <c r="Z238" i="5"/>
  <c r="AC238" i="5"/>
  <c r="C237" i="6"/>
  <c r="O237" i="5"/>
  <c r="AF243" i="5"/>
  <c r="W236" i="12" l="1"/>
  <c r="V236" i="12" s="1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M240" i="6"/>
  <c r="AD240" i="6" s="1"/>
  <c r="AF244" i="5"/>
  <c r="U236" i="12" l="1"/>
  <c r="T236" i="12"/>
  <c r="S244" i="5"/>
  <c r="F244" i="12" s="1"/>
  <c r="AG244" i="5"/>
  <c r="AG240" i="6"/>
  <c r="N241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N239" i="12"/>
  <c r="D239" i="12"/>
  <c r="E239" i="6"/>
  <c r="N242" i="6"/>
  <c r="G242" i="12"/>
  <c r="X242" i="5"/>
  <c r="L244" i="12"/>
  <c r="J244" i="12"/>
  <c r="K243" i="12"/>
  <c r="T237" i="12"/>
  <c r="U237" i="12"/>
  <c r="V237" i="12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N244" i="6" s="1"/>
  <c r="K244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X239" i="12"/>
  <c r="W239" i="12"/>
  <c r="M243" i="6"/>
  <c r="AF243" i="6" s="1"/>
  <c r="N243" i="6"/>
  <c r="L242" i="5"/>
  <c r="AM242" i="5"/>
  <c r="I242" i="12"/>
  <c r="Z242" i="5"/>
  <c r="AC242" i="5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F247" i="5"/>
  <c r="M244" i="6" l="1"/>
  <c r="AU244" i="6" s="1"/>
  <c r="AG247" i="5"/>
  <c r="S247" i="5"/>
  <c r="F247" i="12" s="1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G244" i="12"/>
  <c r="X244" i="5"/>
  <c r="AJ243" i="6"/>
  <c r="AD243" i="6"/>
  <c r="AF248" i="5"/>
  <c r="AJ244" i="6" l="1"/>
  <c r="AG244" i="6"/>
  <c r="AX244" i="6"/>
  <c r="AH244" i="6"/>
  <c r="AD244" i="6"/>
  <c r="BF244" i="6"/>
  <c r="BD244" i="6"/>
  <c r="AB244" i="6"/>
  <c r="BG244" i="6"/>
  <c r="AC244" i="6"/>
  <c r="AK244" i="6"/>
  <c r="AV244" i="6"/>
  <c r="AN244" i="6"/>
  <c r="AI244" i="6"/>
  <c r="AY244" i="6"/>
  <c r="AM244" i="6"/>
  <c r="BE244" i="6"/>
  <c r="AR244" i="6"/>
  <c r="AZ244" i="6"/>
  <c r="AP244" i="6"/>
  <c r="AO244" i="6"/>
  <c r="AQ244" i="6"/>
  <c r="AF244" i="6"/>
  <c r="AE244" i="6"/>
  <c r="BB244" i="6"/>
  <c r="AS244" i="6"/>
  <c r="BA244" i="6"/>
  <c r="AT244" i="6"/>
  <c r="BC244" i="6"/>
  <c r="S248" i="5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K246" i="12"/>
  <c r="G246" i="6"/>
  <c r="H246" i="6"/>
  <c r="T246" i="5" s="1"/>
  <c r="C243" i="12"/>
  <c r="O243" i="12"/>
  <c r="AO243" i="12"/>
  <c r="M243" i="12"/>
  <c r="D242" i="12"/>
  <c r="E242" i="6"/>
  <c r="Y242" i="12"/>
  <c r="N245" i="6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N246" i="6" s="1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C244" i="12"/>
  <c r="O244" i="12"/>
  <c r="M244" i="12"/>
  <c r="AO244" i="12"/>
  <c r="H247" i="6"/>
  <c r="T247" i="5" s="1"/>
  <c r="G247" i="6"/>
  <c r="A247" i="6"/>
  <c r="N247" i="6" s="1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N248" i="6" s="1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N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M249" i="6" l="1"/>
  <c r="BA249" i="6" s="1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52" i="5"/>
  <c r="S252" i="5"/>
  <c r="F252" i="12" s="1"/>
  <c r="Y246" i="12"/>
  <c r="X246" i="12" s="1"/>
  <c r="K250" i="12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E251" i="12"/>
  <c r="F251" i="6"/>
  <c r="J251" i="12"/>
  <c r="L251" i="12"/>
  <c r="E246" i="6"/>
  <c r="D246" i="12"/>
  <c r="A250" i="6"/>
  <c r="N250" i="6" s="1"/>
  <c r="C247" i="12"/>
  <c r="AO247" i="12"/>
  <c r="O247" i="12"/>
  <c r="M247" i="12"/>
  <c r="AF253" i="5"/>
  <c r="AF249" i="6" l="1"/>
  <c r="AH249" i="6"/>
  <c r="AB249" i="6"/>
  <c r="AC249" i="6"/>
  <c r="AD249" i="6"/>
  <c r="AO249" i="6"/>
  <c r="AX249" i="6"/>
  <c r="AK249" i="6"/>
  <c r="AQ249" i="6"/>
  <c r="AM249" i="6"/>
  <c r="AR249" i="6"/>
  <c r="AI249" i="6"/>
  <c r="AS249" i="6"/>
  <c r="AN249" i="6"/>
  <c r="BB249" i="6"/>
  <c r="BF249" i="6"/>
  <c r="AV249" i="6"/>
  <c r="AT249" i="6"/>
  <c r="AZ249" i="6"/>
  <c r="BC249" i="6"/>
  <c r="AU249" i="6"/>
  <c r="AJ249" i="6"/>
  <c r="AP249" i="6"/>
  <c r="AE249" i="6"/>
  <c r="BG249" i="6"/>
  <c r="BE249" i="6"/>
  <c r="AY249" i="6"/>
  <c r="BD249" i="6"/>
  <c r="AG249" i="6"/>
  <c r="W246" i="12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N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M251" i="6" l="1"/>
  <c r="BE251" i="6" s="1"/>
  <c r="V246" i="12"/>
  <c r="U246" i="12"/>
  <c r="A252" i="6"/>
  <c r="M252" i="6" s="1"/>
  <c r="BE252" i="6" s="1"/>
  <c r="S254" i="5"/>
  <c r="F254" i="12" s="1"/>
  <c r="AG254" i="5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N252" i="6" l="1"/>
  <c r="AN251" i="6"/>
  <c r="AX251" i="6"/>
  <c r="AP251" i="6"/>
  <c r="AE251" i="6"/>
  <c r="AM251" i="6"/>
  <c r="AI251" i="6"/>
  <c r="AK251" i="6"/>
  <c r="BB251" i="6"/>
  <c r="BC251" i="6"/>
  <c r="AT251" i="6"/>
  <c r="AD251" i="6"/>
  <c r="AJ251" i="6"/>
  <c r="AC251" i="6"/>
  <c r="AS251" i="6"/>
  <c r="AH251" i="6"/>
  <c r="AO251" i="6"/>
  <c r="AV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BD252" i="6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X249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A254" i="6" l="1"/>
  <c r="M254" i="6" s="1"/>
  <c r="AV254" i="6" s="1"/>
  <c r="Y250" i="12"/>
  <c r="W250" i="12" s="1"/>
  <c r="AG256" i="5"/>
  <c r="S256" i="5"/>
  <c r="F256" i="12" s="1"/>
  <c r="K254" i="12"/>
  <c r="M253" i="6"/>
  <c r="N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N254" i="6" l="1"/>
  <c r="A255" i="6"/>
  <c r="X250" i="12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M255" i="6"/>
  <c r="AQ255" i="6" s="1"/>
  <c r="G255" i="6"/>
  <c r="N255" i="6"/>
  <c r="D256" i="6"/>
  <c r="A256" i="6" s="1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Y252" i="12" l="1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W252" i="12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N256" i="6"/>
  <c r="M256" i="6"/>
  <c r="BF256" i="6" s="1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A257" i="6" s="1"/>
  <c r="C253" i="12"/>
  <c r="AO253" i="12"/>
  <c r="O253" i="12"/>
  <c r="M253" i="12"/>
  <c r="AF259" i="5"/>
  <c r="T251" i="12" l="1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M257" i="6"/>
  <c r="BG257" i="6" s="1"/>
  <c r="N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V252" i="12"/>
  <c r="T252" i="12"/>
  <c r="U252" i="12"/>
  <c r="AF260" i="5"/>
  <c r="Y254" i="12" l="1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N258" i="6" s="1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N259" i="6" s="1"/>
  <c r="C256" i="6"/>
  <c r="O256" i="5"/>
  <c r="M258" i="6"/>
  <c r="AD258" i="6" s="1"/>
  <c r="U254" i="12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V254" i="12" l="1"/>
  <c r="X255" i="12"/>
  <c r="N256" i="12"/>
  <c r="M259" i="6"/>
  <c r="AJ259" i="6" s="1"/>
  <c r="A260" i="6"/>
  <c r="N260" i="6" s="1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261" i="6" l="1"/>
  <c r="M261" i="6" s="1"/>
  <c r="BA261" i="6" s="1"/>
  <c r="AD259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F264" i="5"/>
  <c r="N261" i="6" l="1"/>
  <c r="AC260" i="6"/>
  <c r="AD260" i="6"/>
  <c r="BA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N262" i="6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202" i="5" l="1"/>
  <c r="K202" i="5"/>
  <c r="D202" i="5" s="1"/>
  <c r="J203" i="5"/>
  <c r="K203" i="5"/>
  <c r="J168" i="5"/>
  <c r="K168" i="5"/>
  <c r="K169" i="5"/>
  <c r="J169" i="5"/>
  <c r="J186" i="5"/>
  <c r="K186" i="5"/>
  <c r="K187" i="5"/>
  <c r="J187" i="5"/>
  <c r="N263" i="6"/>
  <c r="J52" i="5"/>
  <c r="K52" i="5"/>
  <c r="K27" i="5"/>
  <c r="J27" i="5"/>
  <c r="J26" i="5"/>
  <c r="K26" i="5"/>
  <c r="J240" i="5"/>
  <c r="K240" i="5"/>
  <c r="K241" i="5"/>
  <c r="J241" i="5"/>
  <c r="J152" i="5"/>
  <c r="K152" i="5"/>
  <c r="K153" i="5"/>
  <c r="J153" i="5"/>
  <c r="J62" i="5"/>
  <c r="K62" i="5"/>
  <c r="K63" i="5"/>
  <c r="J63" i="5"/>
  <c r="J36" i="5"/>
  <c r="K36" i="5"/>
  <c r="J37" i="5"/>
  <c r="K37" i="5"/>
  <c r="O18" i="5"/>
  <c r="D18" i="12" s="1"/>
  <c r="O19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203" i="5" l="1"/>
  <c r="B203" i="12" s="1"/>
  <c r="B202" i="12"/>
  <c r="D168" i="5"/>
  <c r="AB168" i="5" s="1"/>
  <c r="D186" i="5"/>
  <c r="D187" i="5"/>
  <c r="B187" i="12" s="1"/>
  <c r="D169" i="5"/>
  <c r="D52" i="5"/>
  <c r="D27" i="5"/>
  <c r="B27" i="12" s="1"/>
  <c r="D26" i="5"/>
  <c r="B15" i="13" s="1"/>
  <c r="AE15" i="13" s="1"/>
  <c r="D152" i="5"/>
  <c r="B152" i="12" s="1"/>
  <c r="D240" i="5"/>
  <c r="B240" i="12" s="1"/>
  <c r="D37" i="5"/>
  <c r="B37" i="12" s="1"/>
  <c r="D241" i="5"/>
  <c r="B241" i="12" s="1"/>
  <c r="D62" i="5"/>
  <c r="B62" i="12" s="1"/>
  <c r="D153" i="5"/>
  <c r="D63" i="5"/>
  <c r="D36" i="5"/>
  <c r="B36" i="12" s="1"/>
  <c r="E18" i="6"/>
  <c r="D19" i="12"/>
  <c r="E19" i="6"/>
  <c r="AL12" i="13"/>
  <c r="AO12" i="13"/>
  <c r="AO23" i="13"/>
  <c r="AL23" i="13"/>
  <c r="Y261" i="12"/>
  <c r="W261" i="12" s="1"/>
  <c r="A265" i="6"/>
  <c r="M265" i="6" s="1"/>
  <c r="N264" i="6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X261" i="12"/>
  <c r="C262" i="12"/>
  <c r="AO262" i="12"/>
  <c r="M262" i="12"/>
  <c r="O262" i="12"/>
  <c r="C262" i="6"/>
  <c r="O262" i="5"/>
  <c r="L14" i="8"/>
  <c r="O14" i="8" s="1"/>
  <c r="I14" i="8"/>
  <c r="G20" i="11"/>
  <c r="F20" i="13" s="1"/>
  <c r="K20" i="11"/>
  <c r="J20" i="13" s="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C17" i="13"/>
  <c r="G17" i="11"/>
  <c r="F17" i="13" s="1"/>
  <c r="K17" i="11"/>
  <c r="J17" i="13" s="1"/>
  <c r="B12" i="13"/>
  <c r="AH12" i="13" s="1"/>
  <c r="G19" i="11"/>
  <c r="F19" i="13" s="1"/>
  <c r="C19" i="13"/>
  <c r="K19" i="11"/>
  <c r="J19" i="13" s="1"/>
  <c r="K18" i="11"/>
  <c r="J18" i="13" s="1"/>
  <c r="C18" i="13"/>
  <c r="G18" i="11"/>
  <c r="F18" i="13" s="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K16" i="11"/>
  <c r="J16" i="13" s="1"/>
  <c r="G16" i="11"/>
  <c r="F16" i="13" s="1"/>
  <c r="C16" i="13"/>
  <c r="C21" i="13"/>
  <c r="K21" i="11"/>
  <c r="J21" i="13" s="1"/>
  <c r="G21" i="11"/>
  <c r="F21" i="13" s="1"/>
  <c r="K22" i="11"/>
  <c r="J22" i="13" s="1"/>
  <c r="G22" i="11"/>
  <c r="F22" i="13" s="1"/>
  <c r="C22" i="13"/>
  <c r="B23" i="13"/>
  <c r="AE23" i="13" s="1"/>
  <c r="AA12" i="11"/>
  <c r="C12" i="13"/>
  <c r="O12" i="11"/>
  <c r="K12" i="11"/>
  <c r="J12" i="13" s="1"/>
  <c r="G12" i="11"/>
  <c r="F12" i="13" s="1"/>
  <c r="AB12" i="11"/>
  <c r="N12" i="11" s="1"/>
  <c r="B168" i="12" l="1"/>
  <c r="O168" i="12" s="1"/>
  <c r="X168" i="5"/>
  <c r="Z168" i="5" s="1"/>
  <c r="B21" i="13"/>
  <c r="AH21" i="13" s="1"/>
  <c r="B186" i="12"/>
  <c r="B22" i="13"/>
  <c r="AH22" i="13" s="1"/>
  <c r="B169" i="12"/>
  <c r="X169" i="5"/>
  <c r="AB169" i="5"/>
  <c r="B20" i="13"/>
  <c r="AD20" i="13" s="1"/>
  <c r="B52" i="12"/>
  <c r="X52" i="5"/>
  <c r="AB52" i="5"/>
  <c r="B18" i="13"/>
  <c r="AH18" i="13" s="1"/>
  <c r="B17" i="13"/>
  <c r="AF17" i="13" s="1"/>
  <c r="B19" i="13"/>
  <c r="AG19" i="13" s="1"/>
  <c r="B16" i="13"/>
  <c r="AF16" i="13" s="1"/>
  <c r="B26" i="12"/>
  <c r="B153" i="12"/>
  <c r="B63" i="12"/>
  <c r="F1" i="8"/>
  <c r="B16" i="12"/>
  <c r="AJ23" i="13"/>
  <c r="AN23" i="13"/>
  <c r="AM23" i="13"/>
  <c r="AM12" i="13"/>
  <c r="AJ12" i="13"/>
  <c r="AK23" i="13"/>
  <c r="AK12" i="13"/>
  <c r="AN12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I43" i="12" s="1"/>
  <c r="AC19" i="13"/>
  <c r="AD19" i="13"/>
  <c r="AG18" i="13"/>
  <c r="N265" i="6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K21" i="13"/>
  <c r="B22" i="12"/>
  <c r="X22" i="5"/>
  <c r="I22" i="5" s="1"/>
  <c r="I23" i="5" s="1"/>
  <c r="I24" i="5" s="1"/>
  <c r="I25" i="5" s="1"/>
  <c r="I26" i="5" s="1"/>
  <c r="I27" i="5" s="1"/>
  <c r="I28" i="5" s="1"/>
  <c r="B74" i="12"/>
  <c r="Q1" i="8"/>
  <c r="R3" i="8"/>
  <c r="R19" i="8"/>
  <c r="P17" i="8"/>
  <c r="G265" i="12"/>
  <c r="X265" i="5"/>
  <c r="X74" i="5" s="1"/>
  <c r="X62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K18" i="13"/>
  <c r="AC12" i="13"/>
  <c r="AF12" i="13"/>
  <c r="AD21" i="13"/>
  <c r="AF21" i="13"/>
  <c r="K15" i="13"/>
  <c r="Z23" i="11"/>
  <c r="C23" i="11"/>
  <c r="W23" i="11"/>
  <c r="L23" i="13"/>
  <c r="K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K22" i="13"/>
  <c r="K16" i="13"/>
  <c r="B17" i="12"/>
  <c r="B53" i="12"/>
  <c r="X53" i="5"/>
  <c r="I66" i="12"/>
  <c r="AM66" i="5"/>
  <c r="L66" i="5"/>
  <c r="Z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C27" i="9"/>
  <c r="A59" i="9"/>
  <c r="A32" i="9"/>
  <c r="C20" i="9"/>
  <c r="C35" i="9"/>
  <c r="C16" i="10"/>
  <c r="C39" i="9"/>
  <c r="A56" i="10"/>
  <c r="C31" i="10"/>
  <c r="C52" i="10"/>
  <c r="C18" i="9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C21" i="10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C21" i="9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C20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C18" i="10"/>
  <c r="A17" i="10"/>
  <c r="A22" i="9"/>
  <c r="C61" i="9"/>
  <c r="A48" i="10"/>
  <c r="C19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AO168" i="12" l="1"/>
  <c r="M168" i="12"/>
  <c r="N168" i="12" s="1"/>
  <c r="AC168" i="5"/>
  <c r="AM168" i="5"/>
  <c r="L168" i="5"/>
  <c r="C168" i="6" s="1"/>
  <c r="I168" i="12"/>
  <c r="J168" i="12" s="1"/>
  <c r="Y168" i="12"/>
  <c r="AM169" i="5"/>
  <c r="Z169" i="5"/>
  <c r="I169" i="12"/>
  <c r="AC169" i="5"/>
  <c r="L169" i="5"/>
  <c r="M169" i="12"/>
  <c r="O169" i="12"/>
  <c r="AO169" i="12"/>
  <c r="Z52" i="5"/>
  <c r="I52" i="12"/>
  <c r="AC52" i="5"/>
  <c r="L52" i="5"/>
  <c r="AM52" i="5"/>
  <c r="O52" i="12"/>
  <c r="AO52" i="12"/>
  <c r="M52" i="12"/>
  <c r="I29" i="5"/>
  <c r="O28" i="5"/>
  <c r="L32" i="5"/>
  <c r="C32" i="6" s="1"/>
  <c r="X27" i="5"/>
  <c r="X26" i="5"/>
  <c r="X240" i="5"/>
  <c r="X241" i="5"/>
  <c r="X153" i="5"/>
  <c r="X152" i="5"/>
  <c r="L62" i="5"/>
  <c r="AC62" i="5"/>
  <c r="I62" i="12"/>
  <c r="Z62" i="5"/>
  <c r="AM62" i="5"/>
  <c r="L43" i="5"/>
  <c r="C43" i="6" s="1"/>
  <c r="X63" i="5"/>
  <c r="X37" i="5"/>
  <c r="X36" i="5"/>
  <c r="AM32" i="5"/>
  <c r="AO66" i="12"/>
  <c r="X17" i="5"/>
  <c r="AM17" i="5" s="1"/>
  <c r="L20" i="8"/>
  <c r="E24" i="8" s="1"/>
  <c r="AB66" i="5"/>
  <c r="AO43" i="12"/>
  <c r="AM43" i="5"/>
  <c r="I32" i="12"/>
  <c r="C32" i="12" s="1"/>
  <c r="Z43" i="5"/>
  <c r="Z32" i="5"/>
  <c r="AH14" i="13"/>
  <c r="AE14" i="13"/>
  <c r="Y263" i="12"/>
  <c r="X263" i="12" s="1"/>
  <c r="W262" i="12"/>
  <c r="X262" i="12"/>
  <c r="C43" i="12"/>
  <c r="L43" i="12"/>
  <c r="O43" i="12" s="1"/>
  <c r="J43" i="12"/>
  <c r="M43" i="12" s="1"/>
  <c r="D263" i="12"/>
  <c r="E263" i="6"/>
  <c r="C264" i="6"/>
  <c r="O264" i="5"/>
  <c r="P12" i="13"/>
  <c r="N12" i="13"/>
  <c r="L74" i="5"/>
  <c r="I74" i="12"/>
  <c r="AM74" i="5"/>
  <c r="Z74" i="5"/>
  <c r="I22" i="12"/>
  <c r="O22" i="12" s="1"/>
  <c r="AM22" i="5"/>
  <c r="L22" i="5"/>
  <c r="Z22" i="5"/>
  <c r="P23" i="13"/>
  <c r="N23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AC53" i="5"/>
  <c r="J32" i="12"/>
  <c r="L32" i="12"/>
  <c r="D23" i="13"/>
  <c r="N263" i="12"/>
  <c r="L265" i="5"/>
  <c r="I265" i="12"/>
  <c r="AM265" i="5"/>
  <c r="Z265" i="5"/>
  <c r="AC265" i="5"/>
  <c r="X16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2" i="13"/>
  <c r="V12" i="13"/>
  <c r="X203" i="5" l="1"/>
  <c r="X202" i="5"/>
  <c r="X15" i="5"/>
  <c r="I15" i="12" s="1"/>
  <c r="X186" i="5"/>
  <c r="O21" i="11" s="1"/>
  <c r="L21" i="13" s="1"/>
  <c r="D21" i="13" s="1"/>
  <c r="X187" i="5"/>
  <c r="C168" i="12"/>
  <c r="L168" i="12"/>
  <c r="K168" i="12" s="1"/>
  <c r="O168" i="5"/>
  <c r="D168" i="12" s="1"/>
  <c r="N66" i="12"/>
  <c r="J169" i="12"/>
  <c r="L169" i="12"/>
  <c r="C169" i="12"/>
  <c r="X168" i="12"/>
  <c r="W168" i="12"/>
  <c r="O22" i="11"/>
  <c r="Y169" i="12"/>
  <c r="O169" i="5"/>
  <c r="C169" i="6"/>
  <c r="N169" i="12"/>
  <c r="Y52" i="12"/>
  <c r="W52" i="12" s="1"/>
  <c r="N52" i="12"/>
  <c r="C52" i="6"/>
  <c r="O52" i="5"/>
  <c r="R20" i="8"/>
  <c r="F20" i="8" s="1"/>
  <c r="O19" i="11"/>
  <c r="C19" i="11" s="1"/>
  <c r="O20" i="11"/>
  <c r="L52" i="12"/>
  <c r="J52" i="12"/>
  <c r="C52" i="12"/>
  <c r="I30" i="5"/>
  <c r="O29" i="5"/>
  <c r="D28" i="12"/>
  <c r="E28" i="6"/>
  <c r="O16" i="11"/>
  <c r="L16" i="13" s="1"/>
  <c r="D16" i="13" s="1"/>
  <c r="L26" i="5"/>
  <c r="AM26" i="5"/>
  <c r="I26" i="12"/>
  <c r="Z26" i="5"/>
  <c r="L27" i="5"/>
  <c r="AM27" i="5"/>
  <c r="Z27" i="5"/>
  <c r="I27" i="12"/>
  <c r="Z241" i="5"/>
  <c r="L241" i="5"/>
  <c r="AC241" i="5"/>
  <c r="AM241" i="5"/>
  <c r="I241" i="12"/>
  <c r="L240" i="5"/>
  <c r="AC240" i="5"/>
  <c r="AM240" i="5"/>
  <c r="I240" i="12"/>
  <c r="Z240" i="5"/>
  <c r="O18" i="11"/>
  <c r="L152" i="5"/>
  <c r="Z152" i="5"/>
  <c r="AM152" i="5"/>
  <c r="I152" i="12"/>
  <c r="AC152" i="5"/>
  <c r="O17" i="11"/>
  <c r="AM153" i="5"/>
  <c r="I153" i="12"/>
  <c r="Z153" i="5"/>
  <c r="L153" i="5"/>
  <c r="AC153" i="5"/>
  <c r="Z63" i="5"/>
  <c r="AM63" i="5"/>
  <c r="AC63" i="5"/>
  <c r="I63" i="12"/>
  <c r="L63" i="5"/>
  <c r="J62" i="12"/>
  <c r="L62" i="12"/>
  <c r="C62" i="12"/>
  <c r="Y66" i="12"/>
  <c r="W66" i="12" s="1"/>
  <c r="O62" i="5"/>
  <c r="C62" i="6"/>
  <c r="Z36" i="5"/>
  <c r="AM36" i="5"/>
  <c r="L36" i="5"/>
  <c r="I36" i="12"/>
  <c r="O15" i="11"/>
  <c r="N43" i="12"/>
  <c r="AM37" i="5"/>
  <c r="Z37" i="5"/>
  <c r="L37" i="5"/>
  <c r="AC37" i="5"/>
  <c r="I37" i="12"/>
  <c r="Y43" i="12"/>
  <c r="W43" i="12" s="1"/>
  <c r="U43" i="12" s="1"/>
  <c r="Z17" i="5"/>
  <c r="R17" i="8"/>
  <c r="F17" i="8" s="1"/>
  <c r="I17" i="12"/>
  <c r="C17" i="12" s="1"/>
  <c r="L17" i="5"/>
  <c r="O17" i="5" s="1"/>
  <c r="M53" i="12"/>
  <c r="P20" i="8"/>
  <c r="R22" i="8"/>
  <c r="O20" i="8"/>
  <c r="O53" i="12"/>
  <c r="L23" i="8"/>
  <c r="R23" i="8"/>
  <c r="AB53" i="5"/>
  <c r="AB43" i="5"/>
  <c r="AB32" i="5"/>
  <c r="AO32" i="12"/>
  <c r="M32" i="12"/>
  <c r="O32" i="12"/>
  <c r="AO22" i="12"/>
  <c r="Y22" i="12" s="1"/>
  <c r="W22" i="12" s="1"/>
  <c r="M22" i="12"/>
  <c r="N22" i="12" s="1"/>
  <c r="AB22" i="5"/>
  <c r="AA22" i="5"/>
  <c r="W263" i="12"/>
  <c r="U263" i="12" s="1"/>
  <c r="K32" i="12"/>
  <c r="K43" i="12"/>
  <c r="Y264" i="12"/>
  <c r="X264" i="12" s="1"/>
  <c r="I16" i="12"/>
  <c r="Z16" i="5"/>
  <c r="L16" i="5"/>
  <c r="AM16" i="5"/>
  <c r="O14" i="11"/>
  <c r="R14" i="8"/>
  <c r="AA265" i="5"/>
  <c r="AB265" i="5"/>
  <c r="AB153" i="5" s="1"/>
  <c r="U73" i="10"/>
  <c r="AA73" i="10"/>
  <c r="S73" i="10"/>
  <c r="AE73" i="10"/>
  <c r="Y73" i="10"/>
  <c r="O73" i="10"/>
  <c r="AC73" i="10"/>
  <c r="W73" i="10"/>
  <c r="I73" i="10"/>
  <c r="AM15" i="5"/>
  <c r="Z15" i="5"/>
  <c r="K73" i="10"/>
  <c r="M73" i="10"/>
  <c r="Q73" i="10"/>
  <c r="C265" i="12"/>
  <c r="AO265" i="12"/>
  <c r="AO153" i="12" s="1"/>
  <c r="O265" i="12"/>
  <c r="O153" i="12" s="1"/>
  <c r="M265" i="12"/>
  <c r="M152" i="12" s="1"/>
  <c r="C53" i="12"/>
  <c r="J53" i="12"/>
  <c r="L53" i="12"/>
  <c r="M17" i="8"/>
  <c r="M14" i="8"/>
  <c r="Q14" i="8" s="1"/>
  <c r="C74" i="12"/>
  <c r="J74" i="12"/>
  <c r="L74" i="12"/>
  <c r="E264" i="6"/>
  <c r="D264" i="12"/>
  <c r="C265" i="6"/>
  <c r="O265" i="5"/>
  <c r="C53" i="6"/>
  <c r="O53" i="5"/>
  <c r="K66" i="12"/>
  <c r="N264" i="12"/>
  <c r="C22" i="6"/>
  <c r="O22" i="5"/>
  <c r="C22" i="12"/>
  <c r="J22" i="12"/>
  <c r="L22" i="12"/>
  <c r="C74" i="6"/>
  <c r="T262" i="12"/>
  <c r="U262" i="12"/>
  <c r="V262" i="12"/>
  <c r="I202" i="12" l="1"/>
  <c r="AM202" i="5"/>
  <c r="Z202" i="5"/>
  <c r="L202" i="5"/>
  <c r="AC202" i="5"/>
  <c r="AM203" i="5"/>
  <c r="AC203" i="5"/>
  <c r="I203" i="12"/>
  <c r="Z203" i="5"/>
  <c r="L203" i="5"/>
  <c r="I187" i="12"/>
  <c r="AM187" i="5"/>
  <c r="Z187" i="5"/>
  <c r="AC187" i="5"/>
  <c r="L187" i="5"/>
  <c r="I186" i="12"/>
  <c r="Z186" i="5"/>
  <c r="L186" i="5"/>
  <c r="AM186" i="5"/>
  <c r="AC186" i="5"/>
  <c r="E168" i="6"/>
  <c r="W21" i="11"/>
  <c r="C21" i="11"/>
  <c r="K169" i="12"/>
  <c r="C22" i="11"/>
  <c r="W22" i="11"/>
  <c r="L22" i="13"/>
  <c r="D22" i="13" s="1"/>
  <c r="E169" i="6"/>
  <c r="D169" i="12"/>
  <c r="U168" i="12"/>
  <c r="T168" i="12"/>
  <c r="V168" i="12"/>
  <c r="W169" i="12"/>
  <c r="X169" i="12"/>
  <c r="T43" i="12"/>
  <c r="X52" i="12"/>
  <c r="T263" i="12"/>
  <c r="V263" i="12"/>
  <c r="C16" i="11"/>
  <c r="F21" i="8"/>
  <c r="X66" i="12"/>
  <c r="W16" i="11"/>
  <c r="L19" i="13"/>
  <c r="D19" i="13" s="1"/>
  <c r="W19" i="11"/>
  <c r="K52" i="12"/>
  <c r="L20" i="13"/>
  <c r="D20" i="13" s="1"/>
  <c r="C20" i="11"/>
  <c r="W20" i="11"/>
  <c r="D52" i="12"/>
  <c r="E52" i="6"/>
  <c r="U52" i="12"/>
  <c r="V52" i="12"/>
  <c r="T52" i="12"/>
  <c r="F18" i="8"/>
  <c r="V43" i="12"/>
  <c r="W264" i="12"/>
  <c r="T264" i="12" s="1"/>
  <c r="I31" i="5"/>
  <c r="O30" i="5"/>
  <c r="E29" i="6"/>
  <c r="D29" i="12"/>
  <c r="O27" i="12"/>
  <c r="O26" i="12"/>
  <c r="AB27" i="5"/>
  <c r="AB26" i="5"/>
  <c r="J26" i="12"/>
  <c r="L26" i="12"/>
  <c r="C26" i="12"/>
  <c r="M27" i="12"/>
  <c r="M26" i="12"/>
  <c r="C27" i="6"/>
  <c r="O27" i="5"/>
  <c r="AO27" i="12"/>
  <c r="AO26" i="12"/>
  <c r="L27" i="12"/>
  <c r="J27" i="12"/>
  <c r="C27" i="12"/>
  <c r="O26" i="5"/>
  <c r="C26" i="6"/>
  <c r="AA241" i="5"/>
  <c r="M241" i="12"/>
  <c r="W18" i="11"/>
  <c r="L18" i="13"/>
  <c r="D18" i="13" s="1"/>
  <c r="C18" i="11"/>
  <c r="O241" i="12"/>
  <c r="AO241" i="12"/>
  <c r="O240" i="5"/>
  <c r="C240" i="6"/>
  <c r="C241" i="6"/>
  <c r="O241" i="5"/>
  <c r="AA240" i="5"/>
  <c r="AB240" i="5"/>
  <c r="L240" i="12"/>
  <c r="J240" i="12"/>
  <c r="C240" i="12"/>
  <c r="J241" i="12"/>
  <c r="L241" i="12"/>
  <c r="C241" i="12"/>
  <c r="AO240" i="12"/>
  <c r="O240" i="12"/>
  <c r="AB241" i="5"/>
  <c r="M240" i="12"/>
  <c r="AB152" i="5"/>
  <c r="Y153" i="12"/>
  <c r="W153" i="12" s="1"/>
  <c r="K62" i="12"/>
  <c r="M153" i="12"/>
  <c r="N153" i="12" s="1"/>
  <c r="O152" i="12"/>
  <c r="C153" i="6"/>
  <c r="O153" i="5"/>
  <c r="W17" i="11"/>
  <c r="L17" i="13"/>
  <c r="D17" i="13" s="1"/>
  <c r="C17" i="11"/>
  <c r="C152" i="6"/>
  <c r="O152" i="5"/>
  <c r="AO152" i="12"/>
  <c r="L153" i="12"/>
  <c r="J153" i="12"/>
  <c r="C153" i="12"/>
  <c r="J152" i="12"/>
  <c r="L152" i="12"/>
  <c r="C152" i="12"/>
  <c r="X43" i="12"/>
  <c r="C63" i="6"/>
  <c r="O63" i="5"/>
  <c r="D62" i="12"/>
  <c r="E62" i="6"/>
  <c r="J63" i="12"/>
  <c r="L63" i="12"/>
  <c r="C63" i="12"/>
  <c r="J36" i="12"/>
  <c r="L36" i="12"/>
  <c r="C36" i="12"/>
  <c r="C37" i="6"/>
  <c r="O37" i="5"/>
  <c r="C36" i="6"/>
  <c r="O36" i="5"/>
  <c r="Y53" i="12"/>
  <c r="X53" i="12" s="1"/>
  <c r="L37" i="12"/>
  <c r="J37" i="12"/>
  <c r="C37" i="12"/>
  <c r="L15" i="13"/>
  <c r="D15" i="13" s="1"/>
  <c r="W15" i="11"/>
  <c r="C15" i="11"/>
  <c r="J17" i="12"/>
  <c r="N53" i="12"/>
  <c r="C17" i="6"/>
  <c r="L17" i="12"/>
  <c r="M74" i="12"/>
  <c r="M15" i="12"/>
  <c r="J15" i="12" s="1"/>
  <c r="X22" i="12"/>
  <c r="F24" i="8"/>
  <c r="F23" i="8"/>
  <c r="O23" i="8"/>
  <c r="E27" i="8"/>
  <c r="R25" i="8"/>
  <c r="P23" i="8"/>
  <c r="M17" i="12"/>
  <c r="N32" i="12"/>
  <c r="Y32" i="12"/>
  <c r="K74" i="12"/>
  <c r="Y265" i="12"/>
  <c r="W265" i="12" s="1"/>
  <c r="D22" i="12"/>
  <c r="E22" i="6"/>
  <c r="B14" i="8"/>
  <c r="E16" i="8"/>
  <c r="C14" i="8"/>
  <c r="T66" i="12"/>
  <c r="V66" i="12"/>
  <c r="U66" i="12"/>
  <c r="Q71" i="10"/>
  <c r="Q70" i="10" s="1"/>
  <c r="Q72" i="10"/>
  <c r="K72" i="10"/>
  <c r="K71" i="10"/>
  <c r="K70" i="10" s="1"/>
  <c r="W71" i="10"/>
  <c r="W70" i="10" s="1"/>
  <c r="W72" i="10"/>
  <c r="O72" i="10"/>
  <c r="O71" i="10"/>
  <c r="O70" i="10" s="1"/>
  <c r="AE71" i="10"/>
  <c r="AE70" i="10" s="1"/>
  <c r="AE72" i="10"/>
  <c r="AA72" i="10"/>
  <c r="AA71" i="10"/>
  <c r="AA70" i="10" s="1"/>
  <c r="AB74" i="5"/>
  <c r="G15" i="8"/>
  <c r="G14" i="8"/>
  <c r="I15" i="8" s="1"/>
  <c r="F15" i="8"/>
  <c r="F14" i="8"/>
  <c r="O16" i="5"/>
  <c r="C16" i="6"/>
  <c r="L16" i="12"/>
  <c r="C16" i="12"/>
  <c r="J16" i="12"/>
  <c r="K22" i="12"/>
  <c r="M16" i="12"/>
  <c r="E53" i="6"/>
  <c r="D53" i="12"/>
  <c r="D17" i="12"/>
  <c r="E17" i="6"/>
  <c r="H17" i="8"/>
  <c r="D265" i="12"/>
  <c r="E265" i="6"/>
  <c r="AO74" i="12"/>
  <c r="K53" i="12"/>
  <c r="N265" i="12"/>
  <c r="O74" i="12"/>
  <c r="M72" i="10"/>
  <c r="M71" i="10"/>
  <c r="M70" i="10" s="1"/>
  <c r="I72" i="10"/>
  <c r="AE9" i="10" s="1"/>
  <c r="I71" i="10"/>
  <c r="I70" i="10" s="1"/>
  <c r="Y9" i="10" s="1"/>
  <c r="AC71" i="10"/>
  <c r="AC70" i="10" s="1"/>
  <c r="AC72" i="10"/>
  <c r="Y71" i="10"/>
  <c r="Y70" i="10" s="1"/>
  <c r="Y72" i="10"/>
  <c r="S71" i="10"/>
  <c r="S70" i="10" s="1"/>
  <c r="S72" i="10"/>
  <c r="U71" i="10"/>
  <c r="U70" i="10" s="1"/>
  <c r="U72" i="10"/>
  <c r="L14" i="13"/>
  <c r="O24" i="11"/>
  <c r="C14" i="11"/>
  <c r="W14" i="11"/>
  <c r="V22" i="12"/>
  <c r="U22" i="12"/>
  <c r="T22" i="12"/>
  <c r="J203" i="12" l="1"/>
  <c r="L203" i="12"/>
  <c r="C203" i="12"/>
  <c r="O202" i="5"/>
  <c r="C202" i="6"/>
  <c r="O203" i="12"/>
  <c r="O202" i="12"/>
  <c r="AB203" i="5"/>
  <c r="AB202" i="5"/>
  <c r="AO202" i="12"/>
  <c r="AO203" i="12"/>
  <c r="Y203" i="12" s="1"/>
  <c r="C203" i="6"/>
  <c r="O203" i="5"/>
  <c r="M202" i="12"/>
  <c r="M203" i="12"/>
  <c r="J202" i="12"/>
  <c r="L202" i="12"/>
  <c r="C202" i="12"/>
  <c r="M187" i="12"/>
  <c r="M186" i="12"/>
  <c r="AL21" i="13" s="1"/>
  <c r="M21" i="13" s="1"/>
  <c r="O186" i="5"/>
  <c r="C186" i="6"/>
  <c r="O187" i="12"/>
  <c r="N187" i="12" s="1"/>
  <c r="O186" i="12"/>
  <c r="N186" i="12" s="1"/>
  <c r="AB22" i="11"/>
  <c r="N22" i="11" s="1"/>
  <c r="AB186" i="5"/>
  <c r="AB187" i="5"/>
  <c r="J186" i="12"/>
  <c r="C186" i="12"/>
  <c r="L186" i="12"/>
  <c r="AO187" i="12"/>
  <c r="AO186" i="12"/>
  <c r="Y186" i="12" s="1"/>
  <c r="C187" i="6"/>
  <c r="O187" i="5"/>
  <c r="C187" i="12"/>
  <c r="L187" i="12"/>
  <c r="J187" i="12"/>
  <c r="U264" i="12"/>
  <c r="I32" i="5"/>
  <c r="O31" i="5"/>
  <c r="T169" i="12"/>
  <c r="U169" i="12"/>
  <c r="V169" i="12"/>
  <c r="AO22" i="13"/>
  <c r="O22" i="13" s="1"/>
  <c r="AB20" i="11"/>
  <c r="N20" i="11" s="1"/>
  <c r="V264" i="12"/>
  <c r="AO20" i="13"/>
  <c r="O20" i="13" s="1"/>
  <c r="AN20" i="13"/>
  <c r="U20" i="13" s="1"/>
  <c r="AL20" i="13"/>
  <c r="M20" i="13" s="1"/>
  <c r="AK20" i="13"/>
  <c r="S20" i="13" s="1"/>
  <c r="H20" i="8"/>
  <c r="Y27" i="12"/>
  <c r="X27" i="12" s="1"/>
  <c r="Y26" i="12"/>
  <c r="X26" i="12" s="1"/>
  <c r="E30" i="6"/>
  <c r="D30" i="12"/>
  <c r="K26" i="12"/>
  <c r="K27" i="12"/>
  <c r="AL19" i="13"/>
  <c r="M19" i="13" s="1"/>
  <c r="AK19" i="13"/>
  <c r="S19" i="13" s="1"/>
  <c r="H26" i="8"/>
  <c r="D27" i="12"/>
  <c r="E27" i="6"/>
  <c r="AO19" i="13"/>
  <c r="O19" i="13" s="1"/>
  <c r="AN19" i="13"/>
  <c r="U19" i="13" s="1"/>
  <c r="AB19" i="11"/>
  <c r="N19" i="11" s="1"/>
  <c r="N26" i="12"/>
  <c r="D26" i="12"/>
  <c r="E26" i="6"/>
  <c r="N27" i="12"/>
  <c r="K63" i="12"/>
  <c r="Y241" i="12"/>
  <c r="X241" i="12" s="1"/>
  <c r="K241" i="12"/>
  <c r="K240" i="12"/>
  <c r="N241" i="12"/>
  <c r="N240" i="12"/>
  <c r="Y240" i="12"/>
  <c r="D240" i="12"/>
  <c r="E240" i="6"/>
  <c r="E241" i="6"/>
  <c r="D241" i="12"/>
  <c r="X153" i="12"/>
  <c r="K152" i="12"/>
  <c r="K153" i="12"/>
  <c r="D153" i="12"/>
  <c r="E153" i="6"/>
  <c r="U153" i="12"/>
  <c r="V153" i="12"/>
  <c r="T153" i="12"/>
  <c r="Y152" i="12"/>
  <c r="D152" i="12"/>
  <c r="E152" i="6"/>
  <c r="N152" i="12"/>
  <c r="E63" i="6"/>
  <c r="D63" i="12"/>
  <c r="AO63" i="12"/>
  <c r="AO62" i="12"/>
  <c r="M63" i="12"/>
  <c r="M62" i="12"/>
  <c r="AL17" i="13" s="1"/>
  <c r="M17" i="13" s="1"/>
  <c r="O15" i="12"/>
  <c r="L15" i="12" s="1"/>
  <c r="K15" i="12" s="1"/>
  <c r="O62" i="12"/>
  <c r="AO17" i="13" s="1"/>
  <c r="O17" i="13" s="1"/>
  <c r="O63" i="12"/>
  <c r="AB17" i="5"/>
  <c r="AB62" i="5"/>
  <c r="AB18" i="11" s="1"/>
  <c r="N18" i="11" s="1"/>
  <c r="AB63" i="5"/>
  <c r="K17" i="12"/>
  <c r="K36" i="12"/>
  <c r="O37" i="12"/>
  <c r="W53" i="12"/>
  <c r="T53" i="12" s="1"/>
  <c r="K37" i="12"/>
  <c r="D36" i="12"/>
  <c r="E36" i="6"/>
  <c r="M37" i="12"/>
  <c r="M36" i="12"/>
  <c r="O36" i="12"/>
  <c r="AB37" i="5"/>
  <c r="E37" i="6"/>
  <c r="D37" i="12"/>
  <c r="H23" i="8"/>
  <c r="AB36" i="5"/>
  <c r="AB15" i="11" s="1"/>
  <c r="N15" i="11" s="1"/>
  <c r="AO16" i="12"/>
  <c r="AO36" i="12"/>
  <c r="AO37" i="12"/>
  <c r="AB16" i="5"/>
  <c r="AL14" i="13"/>
  <c r="M14" i="13" s="1"/>
  <c r="I26" i="8"/>
  <c r="R26" i="8"/>
  <c r="L26" i="8"/>
  <c r="N74" i="12"/>
  <c r="O16" i="12"/>
  <c r="AB15" i="5"/>
  <c r="O17" i="12"/>
  <c r="N17" i="12" s="1"/>
  <c r="AO17" i="12"/>
  <c r="W32" i="12"/>
  <c r="X32" i="12"/>
  <c r="X265" i="12"/>
  <c r="O25" i="11"/>
  <c r="AA7" i="11"/>
  <c r="AF14" i="13"/>
  <c r="AC14" i="13"/>
  <c r="V265" i="12"/>
  <c r="U265" i="12"/>
  <c r="T265" i="12"/>
  <c r="AG14" i="13"/>
  <c r="AD14" i="13"/>
  <c r="L28" i="13"/>
  <c r="V14" i="13"/>
  <c r="D14" i="13"/>
  <c r="Y74" i="12"/>
  <c r="K16" i="12"/>
  <c r="D16" i="12"/>
  <c r="E16" i="6"/>
  <c r="H14" i="8"/>
  <c r="AN22" i="13" l="1"/>
  <c r="U22" i="13" s="1"/>
  <c r="Y187" i="12"/>
  <c r="Y202" i="12"/>
  <c r="X202" i="12" s="1"/>
  <c r="K202" i="12"/>
  <c r="K203" i="12"/>
  <c r="AK22" i="13"/>
  <c r="S22" i="13" s="1"/>
  <c r="AL22" i="13"/>
  <c r="M22" i="13" s="1"/>
  <c r="N22" i="13" s="1"/>
  <c r="K187" i="12"/>
  <c r="E203" i="6"/>
  <c r="D203" i="12"/>
  <c r="D202" i="12"/>
  <c r="E202" i="6"/>
  <c r="X203" i="12"/>
  <c r="W203" i="12"/>
  <c r="N202" i="12"/>
  <c r="W202" i="12"/>
  <c r="N203" i="12"/>
  <c r="AN21" i="13"/>
  <c r="U21" i="13" s="1"/>
  <c r="AK21" i="13"/>
  <c r="S21" i="13" s="1"/>
  <c r="AO21" i="13"/>
  <c r="O21" i="13" s="1"/>
  <c r="N21" i="13" s="1"/>
  <c r="AB21" i="11"/>
  <c r="N21" i="11" s="1"/>
  <c r="D187" i="12"/>
  <c r="E187" i="6"/>
  <c r="K186" i="12"/>
  <c r="E186" i="6"/>
  <c r="D186" i="12"/>
  <c r="X186" i="12"/>
  <c r="W186" i="12"/>
  <c r="X187" i="12"/>
  <c r="W187" i="12"/>
  <c r="I33" i="5"/>
  <c r="O32" i="5"/>
  <c r="E31" i="6"/>
  <c r="D31" i="12"/>
  <c r="P22" i="13"/>
  <c r="W26" i="12"/>
  <c r="U26" i="12" s="1"/>
  <c r="N63" i="12"/>
  <c r="W27" i="12"/>
  <c r="T27" i="12" s="1"/>
  <c r="AL18" i="13"/>
  <c r="M18" i="13" s="1"/>
  <c r="AN18" i="13"/>
  <c r="U18" i="13" s="1"/>
  <c r="AO18" i="13"/>
  <c r="O18" i="13" s="1"/>
  <c r="AK18" i="13"/>
  <c r="S18" i="13" s="1"/>
  <c r="P20" i="13"/>
  <c r="N20" i="13"/>
  <c r="W241" i="12"/>
  <c r="U241" i="12" s="1"/>
  <c r="Y36" i="12"/>
  <c r="X36" i="12" s="1"/>
  <c r="AK14" i="13"/>
  <c r="S14" i="13" s="1"/>
  <c r="V53" i="12"/>
  <c r="AB16" i="11"/>
  <c r="N16" i="11" s="1"/>
  <c r="AN17" i="13"/>
  <c r="U17" i="13" s="1"/>
  <c r="AB17" i="11"/>
  <c r="AK17" i="13"/>
  <c r="S17" i="13" s="1"/>
  <c r="P19" i="13"/>
  <c r="N19" i="13"/>
  <c r="N15" i="12"/>
  <c r="N10" i="12"/>
  <c r="N37" i="12"/>
  <c r="Y37" i="12"/>
  <c r="X37" i="12" s="1"/>
  <c r="X240" i="12"/>
  <c r="W240" i="12"/>
  <c r="V241" i="12"/>
  <c r="N17" i="13"/>
  <c r="P17" i="13"/>
  <c r="X152" i="12"/>
  <c r="W152" i="12"/>
  <c r="U53" i="12"/>
  <c r="N62" i="12"/>
  <c r="AO16" i="13"/>
  <c r="O16" i="13" s="1"/>
  <c r="AN16" i="13"/>
  <c r="U16" i="13" s="1"/>
  <c r="Y62" i="12"/>
  <c r="Y63" i="12"/>
  <c r="AL16" i="13"/>
  <c r="M16" i="13" s="1"/>
  <c r="AK16" i="13"/>
  <c r="S16" i="13" s="1"/>
  <c r="N36" i="12"/>
  <c r="AO15" i="13"/>
  <c r="O15" i="13" s="1"/>
  <c r="AN15" i="13"/>
  <c r="U15" i="13" s="1"/>
  <c r="AL15" i="13"/>
  <c r="M15" i="13" s="1"/>
  <c r="AK15" i="13"/>
  <c r="S15" i="13" s="1"/>
  <c r="P26" i="8"/>
  <c r="M20" i="8"/>
  <c r="AB14" i="11"/>
  <c r="Y16" i="12"/>
  <c r="X16" i="12" s="1"/>
  <c r="AO14" i="13"/>
  <c r="O14" i="13" s="1"/>
  <c r="AN14" i="13"/>
  <c r="U14" i="13" s="1"/>
  <c r="O26" i="8"/>
  <c r="Y17" i="12"/>
  <c r="X17" i="12" s="1"/>
  <c r="E30" i="8"/>
  <c r="M23" i="8"/>
  <c r="R28" i="8"/>
  <c r="F26" i="8"/>
  <c r="F27" i="8"/>
  <c r="N16" i="12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P21" i="13" l="1"/>
  <c r="T202" i="12"/>
  <c r="U202" i="12"/>
  <c r="V202" i="12"/>
  <c r="V203" i="12"/>
  <c r="U203" i="12"/>
  <c r="T203" i="12"/>
  <c r="T186" i="12"/>
  <c r="U186" i="12"/>
  <c r="V186" i="12"/>
  <c r="T187" i="12"/>
  <c r="V187" i="12"/>
  <c r="U187" i="12"/>
  <c r="I34" i="5"/>
  <c r="I35" i="5" s="1"/>
  <c r="I36" i="5" s="1"/>
  <c r="I37" i="5" s="1"/>
  <c r="I38" i="5" s="1"/>
  <c r="O33" i="5"/>
  <c r="U27" i="12"/>
  <c r="D32" i="12"/>
  <c r="E32" i="6"/>
  <c r="V27" i="12"/>
  <c r="W36" i="12"/>
  <c r="V36" i="12" s="1"/>
  <c r="T26" i="12"/>
  <c r="V26" i="12"/>
  <c r="N18" i="13"/>
  <c r="AB24" i="11"/>
  <c r="AB7" i="11" s="1"/>
  <c r="Z3" i="11" s="1"/>
  <c r="AA3" i="11" s="1"/>
  <c r="P18" i="13"/>
  <c r="T241" i="12"/>
  <c r="W16" i="12"/>
  <c r="T16" i="12" s="1"/>
  <c r="W37" i="12"/>
  <c r="T37" i="12" s="1"/>
  <c r="M28" i="13"/>
  <c r="M24" i="13" s="1"/>
  <c r="N17" i="11"/>
  <c r="T240" i="12"/>
  <c r="U240" i="12"/>
  <c r="V240" i="12"/>
  <c r="T152" i="12"/>
  <c r="V152" i="12"/>
  <c r="U152" i="12"/>
  <c r="W63" i="12"/>
  <c r="X63" i="12"/>
  <c r="M27" i="13"/>
  <c r="P16" i="13"/>
  <c r="N16" i="13"/>
  <c r="W62" i="12"/>
  <c r="X62" i="12"/>
  <c r="P15" i="13"/>
  <c r="N15" i="13"/>
  <c r="AD4" i="13"/>
  <c r="W17" i="12"/>
  <c r="T17" i="12" s="1"/>
  <c r="N14" i="11"/>
  <c r="O28" i="13"/>
  <c r="N14" i="13"/>
  <c r="P14" i="13"/>
  <c r="L29" i="8"/>
  <c r="O29" i="8" s="1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A184" i="5" l="1"/>
  <c r="AA198" i="5"/>
  <c r="AA197" i="5"/>
  <c r="AA183" i="5"/>
  <c r="AA195" i="5"/>
  <c r="AA196" i="5"/>
  <c r="AA160" i="5"/>
  <c r="AA194" i="5"/>
  <c r="AA80" i="5"/>
  <c r="AA204" i="5"/>
  <c r="AA181" i="5"/>
  <c r="AA182" i="5"/>
  <c r="AA179" i="5"/>
  <c r="AA180" i="5"/>
  <c r="AA178" i="5"/>
  <c r="AA193" i="5"/>
  <c r="AA192" i="5"/>
  <c r="AA45" i="5"/>
  <c r="AA78" i="5"/>
  <c r="AA79" i="5"/>
  <c r="AA76" i="5"/>
  <c r="AA77" i="5"/>
  <c r="AA74" i="5"/>
  <c r="AA75" i="5"/>
  <c r="T36" i="12"/>
  <c r="AA44" i="5"/>
  <c r="AA69" i="5"/>
  <c r="U36" i="12"/>
  <c r="AA39" i="5"/>
  <c r="AA38" i="5"/>
  <c r="I39" i="5"/>
  <c r="I40" i="5" s="1"/>
  <c r="O38" i="5"/>
  <c r="AA191" i="5"/>
  <c r="AA177" i="5"/>
  <c r="AA190" i="5"/>
  <c r="AA73" i="5"/>
  <c r="AA188" i="5"/>
  <c r="AA189" i="5"/>
  <c r="U37" i="12"/>
  <c r="AA71" i="5"/>
  <c r="AA72" i="5"/>
  <c r="AA68" i="5"/>
  <c r="AA70" i="5"/>
  <c r="AA175" i="5"/>
  <c r="AA176" i="5"/>
  <c r="AA66" i="5"/>
  <c r="AA67" i="5"/>
  <c r="AA33" i="5"/>
  <c r="AA43" i="5"/>
  <c r="O34" i="5"/>
  <c r="E34" i="6" s="1"/>
  <c r="D33" i="12"/>
  <c r="E33" i="6"/>
  <c r="AA65" i="5"/>
  <c r="AA34" i="5"/>
  <c r="O29" i="13"/>
  <c r="AA32" i="5"/>
  <c r="AA64" i="5"/>
  <c r="AA174" i="5"/>
  <c r="AA31" i="5"/>
  <c r="AA172" i="5"/>
  <c r="AA173" i="5"/>
  <c r="AA170" i="5"/>
  <c r="AA171" i="5"/>
  <c r="U16" i="12"/>
  <c r="V37" i="12"/>
  <c r="AA158" i="5"/>
  <c r="AA159" i="5"/>
  <c r="AA58" i="5"/>
  <c r="AA59" i="5"/>
  <c r="AA56" i="5"/>
  <c r="AA57" i="5"/>
  <c r="N24" i="11"/>
  <c r="N25" i="11" s="1"/>
  <c r="AA54" i="5"/>
  <c r="AA55" i="5"/>
  <c r="V16" i="12"/>
  <c r="AA156" i="5"/>
  <c r="AA157" i="5"/>
  <c r="AA154" i="5"/>
  <c r="AA155" i="5"/>
  <c r="K6" i="14"/>
  <c r="L6" i="14" s="1"/>
  <c r="AA29" i="5"/>
  <c r="AA30" i="5"/>
  <c r="AA42" i="5"/>
  <c r="AA28" i="5"/>
  <c r="AA40" i="5"/>
  <c r="AA41" i="5"/>
  <c r="T62" i="12"/>
  <c r="V62" i="12"/>
  <c r="U62" i="12"/>
  <c r="T63" i="12"/>
  <c r="U63" i="12"/>
  <c r="V63" i="12"/>
  <c r="AA18" i="5"/>
  <c r="AA19" i="5"/>
  <c r="AD12" i="11"/>
  <c r="AD18" i="11"/>
  <c r="AD19" i="11"/>
  <c r="AD20" i="11"/>
  <c r="AD15" i="11"/>
  <c r="AD16" i="11"/>
  <c r="AD14" i="11"/>
  <c r="AD23" i="11"/>
  <c r="AE23" i="11" s="1"/>
  <c r="M23" i="11" s="1"/>
  <c r="L23" i="11" s="1"/>
  <c r="AD21" i="11"/>
  <c r="AD22" i="11"/>
  <c r="AD17" i="11"/>
  <c r="U17" i="12"/>
  <c r="V17" i="12"/>
  <c r="F30" i="8"/>
  <c r="F33" i="14"/>
  <c r="N28" i="13"/>
  <c r="AE4" i="13" s="1"/>
  <c r="O27" i="13" s="1"/>
  <c r="AD6" i="13"/>
  <c r="P24" i="13"/>
  <c r="O24" i="13"/>
  <c r="P29" i="8"/>
  <c r="E33" i="8"/>
  <c r="R31" i="8"/>
  <c r="AA202" i="5" l="1"/>
  <c r="AA203" i="5"/>
  <c r="O39" i="5"/>
  <c r="D39" i="12" s="1"/>
  <c r="I41" i="5"/>
  <c r="O40" i="5"/>
  <c r="D40" i="12" s="1"/>
  <c r="E38" i="6"/>
  <c r="D38" i="12"/>
  <c r="AA187" i="5"/>
  <c r="AA186" i="5"/>
  <c r="AA21" i="11" s="1"/>
  <c r="Z21" i="11" s="1"/>
  <c r="D34" i="12"/>
  <c r="AA62" i="5"/>
  <c r="AA18" i="11" s="1"/>
  <c r="Z18" i="11" s="1"/>
  <c r="AA63" i="5"/>
  <c r="AA168" i="5"/>
  <c r="AA20" i="11" s="1"/>
  <c r="Z20" i="11" s="1"/>
  <c r="AA169" i="5"/>
  <c r="AA52" i="5"/>
  <c r="AA17" i="11" s="1"/>
  <c r="Z17" i="11" s="1"/>
  <c r="L27" i="13"/>
  <c r="AC27" i="13" s="1"/>
  <c r="AA53" i="5"/>
  <c r="AA153" i="5"/>
  <c r="AA152" i="5"/>
  <c r="AA19" i="11" s="1"/>
  <c r="Z19" i="11" s="1"/>
  <c r="AD27" i="13"/>
  <c r="AA37" i="5"/>
  <c r="AA15" i="5"/>
  <c r="AA36" i="5"/>
  <c r="AA27" i="5"/>
  <c r="AA26" i="5"/>
  <c r="AA15" i="11" s="1"/>
  <c r="Z15" i="11" s="1"/>
  <c r="AA17" i="5"/>
  <c r="AA16" i="5"/>
  <c r="AA14" i="11" s="1"/>
  <c r="AE17" i="11"/>
  <c r="AE15" i="11"/>
  <c r="AE12" i="11"/>
  <c r="M12" i="11" s="1"/>
  <c r="L12" i="11" s="1"/>
  <c r="AE19" i="11"/>
  <c r="AE14" i="11"/>
  <c r="AE18" i="11"/>
  <c r="AE21" i="11"/>
  <c r="AE22" i="11"/>
  <c r="AE20" i="11"/>
  <c r="AE16" i="11"/>
  <c r="N27" i="13"/>
  <c r="E32" i="14" s="1"/>
  <c r="F32" i="14"/>
  <c r="E33" i="14"/>
  <c r="N24" i="13"/>
  <c r="E34" i="14"/>
  <c r="F34" i="14"/>
  <c r="AE6" i="13"/>
  <c r="I32" i="8"/>
  <c r="R32" i="8"/>
  <c r="F32" i="8" s="1"/>
  <c r="L32" i="8"/>
  <c r="H32" i="8"/>
  <c r="AM22" i="13" l="1"/>
  <c r="T22" i="13" s="1"/>
  <c r="AA22" i="11"/>
  <c r="Z22" i="11" s="1"/>
  <c r="AJ22" i="13"/>
  <c r="R22" i="13" s="1"/>
  <c r="E39" i="6"/>
  <c r="E40" i="6"/>
  <c r="AJ21" i="13"/>
  <c r="R21" i="13" s="1"/>
  <c r="AM21" i="13"/>
  <c r="T21" i="13" s="1"/>
  <c r="O41" i="5"/>
  <c r="I42" i="5"/>
  <c r="AM18" i="13"/>
  <c r="T18" i="13" s="1"/>
  <c r="M21" i="11"/>
  <c r="L21" i="11" s="1"/>
  <c r="AJ18" i="13"/>
  <c r="R18" i="13" s="1"/>
  <c r="M20" i="11"/>
  <c r="L20" i="11" s="1"/>
  <c r="AM20" i="13"/>
  <c r="T20" i="13" s="1"/>
  <c r="D32" i="14"/>
  <c r="AJ20" i="13"/>
  <c r="R20" i="13" s="1"/>
  <c r="AM17" i="13"/>
  <c r="T17" i="13" s="1"/>
  <c r="AJ17" i="13"/>
  <c r="R17" i="13" s="1"/>
  <c r="AM19" i="13"/>
  <c r="T19" i="13" s="1"/>
  <c r="M18" i="11"/>
  <c r="L18" i="11" s="1"/>
  <c r="AJ19" i="13"/>
  <c r="R19" i="13" s="1"/>
  <c r="M19" i="11"/>
  <c r="L19" i="11" s="1"/>
  <c r="AM16" i="13"/>
  <c r="T16" i="13" s="1"/>
  <c r="AJ16" i="13"/>
  <c r="R16" i="13" s="1"/>
  <c r="M17" i="11"/>
  <c r="L17" i="11" s="1"/>
  <c r="AA16" i="11"/>
  <c r="Z16" i="11" s="1"/>
  <c r="AJ14" i="13"/>
  <c r="R14" i="13" s="1"/>
  <c r="AM14" i="13"/>
  <c r="T14" i="13" s="1"/>
  <c r="AJ15" i="13"/>
  <c r="R15" i="13" s="1"/>
  <c r="AM15" i="13"/>
  <c r="T15" i="13" s="1"/>
  <c r="M15" i="11"/>
  <c r="L15" i="11" s="1"/>
  <c r="O32" i="8"/>
  <c r="M26" i="8"/>
  <c r="Z14" i="11"/>
  <c r="M14" i="11"/>
  <c r="P32" i="8"/>
  <c r="F33" i="8"/>
  <c r="R34" i="8"/>
  <c r="M29" i="8"/>
  <c r="E36" i="8"/>
  <c r="M22" i="11" l="1"/>
  <c r="L22" i="11" s="1"/>
  <c r="O42" i="5"/>
  <c r="I43" i="5"/>
  <c r="D41" i="12"/>
  <c r="E41" i="6"/>
  <c r="Z24" i="11"/>
  <c r="AA24" i="11"/>
  <c r="M26" i="13"/>
  <c r="M25" i="13" s="1"/>
  <c r="M16" i="11"/>
  <c r="L16" i="11" s="1"/>
  <c r="AD3" i="13"/>
  <c r="AD2" i="13" s="1"/>
  <c r="L14" i="11"/>
  <c r="I35" i="8"/>
  <c r="H35" i="8"/>
  <c r="R35" i="8"/>
  <c r="F36" i="8" s="1"/>
  <c r="L35" i="8"/>
  <c r="O35" i="8" s="1"/>
  <c r="I44" i="5" l="1"/>
  <c r="O43" i="5"/>
  <c r="E42" i="6"/>
  <c r="D42" i="12"/>
  <c r="L24" i="11"/>
  <c r="L10" i="11" s="1"/>
  <c r="M10" i="13" s="1"/>
  <c r="M24" i="11"/>
  <c r="M25" i="11" s="1"/>
  <c r="AE3" i="13"/>
  <c r="O26" i="13" s="1"/>
  <c r="P35" i="8"/>
  <c r="F35" i="8"/>
  <c r="R37" i="8"/>
  <c r="E39" i="8"/>
  <c r="I45" i="5" l="1"/>
  <c r="O44" i="5"/>
  <c r="D43" i="12"/>
  <c r="E43" i="6"/>
  <c r="L26" i="13"/>
  <c r="AC26" i="13" s="1"/>
  <c r="L25" i="11"/>
  <c r="L25" i="13"/>
  <c r="D30" i="14" s="1"/>
  <c r="M10" i="11"/>
  <c r="N10" i="13" s="1"/>
  <c r="AE2" i="13"/>
  <c r="O25" i="13"/>
  <c r="F31" i="14"/>
  <c r="N26" i="13"/>
  <c r="E31" i="14" s="1"/>
  <c r="AD26" i="13"/>
  <c r="H38" i="8"/>
  <c r="L38" i="8"/>
  <c r="I38" i="8"/>
  <c r="R38" i="8"/>
  <c r="F39" i="8" s="1"/>
  <c r="I46" i="5" l="1"/>
  <c r="I47" i="5" s="1"/>
  <c r="I48" i="5" s="1"/>
  <c r="I49" i="5" s="1"/>
  <c r="I50" i="5" s="1"/>
  <c r="I51" i="5" s="1"/>
  <c r="I52" i="5" s="1"/>
  <c r="I53" i="5" s="1"/>
  <c r="I54" i="5" s="1"/>
  <c r="O54" i="5" s="1"/>
  <c r="D54" i="12" s="1"/>
  <c r="O45" i="5"/>
  <c r="E44" i="6"/>
  <c r="D44" i="12"/>
  <c r="D31" i="14"/>
  <c r="G9" i="11"/>
  <c r="N25" i="13"/>
  <c r="E30" i="14" s="1"/>
  <c r="F30" i="14"/>
  <c r="N38" i="8"/>
  <c r="M32" i="8"/>
  <c r="P38" i="8"/>
  <c r="F38" i="8"/>
  <c r="O38" i="8"/>
  <c r="R40" i="8"/>
  <c r="M35" i="8"/>
  <c r="E42" i="8"/>
  <c r="E54" i="6" l="1"/>
  <c r="I55" i="5"/>
  <c r="I56" i="5" s="1"/>
  <c r="O56" i="5" s="1"/>
  <c r="D45" i="12"/>
  <c r="E45" i="6"/>
  <c r="L41" i="8"/>
  <c r="O41" i="8" s="1"/>
  <c r="H41" i="8"/>
  <c r="I41" i="8"/>
  <c r="R41" i="8"/>
  <c r="F42" i="8" s="1"/>
  <c r="I57" i="5" l="1"/>
  <c r="O57" i="5" s="1"/>
  <c r="O55" i="5"/>
  <c r="E55" i="6" s="1"/>
  <c r="E56" i="6"/>
  <c r="D56" i="12"/>
  <c r="P41" i="8"/>
  <c r="F41" i="8"/>
  <c r="R43" i="8"/>
  <c r="E45" i="8"/>
  <c r="I58" i="5" l="1"/>
  <c r="O58" i="5" s="1"/>
  <c r="D55" i="12"/>
  <c r="D57" i="12"/>
  <c r="E57" i="6"/>
  <c r="H44" i="8"/>
  <c r="I44" i="8"/>
  <c r="R44" i="8"/>
  <c r="F45" i="8" s="1"/>
  <c r="L44" i="8"/>
  <c r="I59" i="5" l="1"/>
  <c r="I60" i="5" s="1"/>
  <c r="I61" i="5" s="1"/>
  <c r="I62" i="5" s="1"/>
  <c r="I63" i="5" s="1"/>
  <c r="I64" i="5" s="1"/>
  <c r="E58" i="6"/>
  <c r="D58" i="12"/>
  <c r="O59" i="5"/>
  <c r="O44" i="8"/>
  <c r="M38" i="8"/>
  <c r="Q38" i="8" s="1"/>
  <c r="N44" i="8"/>
  <c r="M41" i="8"/>
  <c r="R46" i="8"/>
  <c r="E48" i="8"/>
  <c r="F44" i="8"/>
  <c r="P44" i="8"/>
  <c r="E59" i="6" l="1"/>
  <c r="D59" i="12"/>
  <c r="I65" i="5"/>
  <c r="O64" i="5"/>
  <c r="G38" i="8"/>
  <c r="I39" i="8" s="1"/>
  <c r="G39" i="8"/>
  <c r="E40" i="8"/>
  <c r="B38" i="8"/>
  <c r="C38" i="8"/>
  <c r="L47" i="8"/>
  <c r="P47" i="8" s="1"/>
  <c r="H47" i="8"/>
  <c r="R47" i="8"/>
  <c r="F48" i="8" s="1"/>
  <c r="I47" i="8"/>
  <c r="E64" i="6" l="1"/>
  <c r="D64" i="12"/>
  <c r="I66" i="5"/>
  <c r="O65" i="5"/>
  <c r="O47" i="8"/>
  <c r="R49" i="8"/>
  <c r="E51" i="8"/>
  <c r="F47" i="8"/>
  <c r="D65" i="12" l="1"/>
  <c r="E65" i="6"/>
  <c r="I67" i="5"/>
  <c r="O66" i="5"/>
  <c r="L50" i="8"/>
  <c r="R50" i="8"/>
  <c r="F50" i="8" s="1"/>
  <c r="I50" i="8"/>
  <c r="H50" i="8"/>
  <c r="D66" i="12" l="1"/>
  <c r="E66" i="6"/>
  <c r="I68" i="5"/>
  <c r="O67" i="5"/>
  <c r="M44" i="8"/>
  <c r="Q44" i="8" s="1"/>
  <c r="M47" i="8"/>
  <c r="N50" i="8"/>
  <c r="O50" i="8"/>
  <c r="P50" i="8"/>
  <c r="F51" i="8"/>
  <c r="R52" i="8"/>
  <c r="E54" i="8"/>
  <c r="D67" i="12" l="1"/>
  <c r="E67" i="6"/>
  <c r="I69" i="5"/>
  <c r="O68" i="5"/>
  <c r="G45" i="8"/>
  <c r="G44" i="8"/>
  <c r="I45" i="8" s="1"/>
  <c r="B44" i="8"/>
  <c r="E46" i="8"/>
  <c r="C44" i="8"/>
  <c r="I53" i="8"/>
  <c r="L53" i="8"/>
  <c r="H53" i="8"/>
  <c r="R53" i="8"/>
  <c r="F54" i="8" s="1"/>
  <c r="I70" i="5" l="1"/>
  <c r="I71" i="5" s="1"/>
  <c r="O69" i="5"/>
  <c r="D68" i="12"/>
  <c r="E68" i="6"/>
  <c r="O70" i="5"/>
  <c r="P53" i="8"/>
  <c r="O53" i="8"/>
  <c r="F53" i="8"/>
  <c r="E57" i="8"/>
  <c r="R55" i="8"/>
  <c r="D69" i="12" l="1"/>
  <c r="E69" i="6"/>
  <c r="D70" i="12"/>
  <c r="E70" i="6"/>
  <c r="I72" i="5"/>
  <c r="O71" i="5"/>
  <c r="I56" i="8"/>
  <c r="R56" i="8"/>
  <c r="F56" i="8" s="1"/>
  <c r="L56" i="8"/>
  <c r="H56" i="8"/>
  <c r="D71" i="12" l="1"/>
  <c r="E71" i="6"/>
  <c r="I73" i="5"/>
  <c r="O72" i="5"/>
  <c r="M50" i="8"/>
  <c r="Q50" i="8" s="1"/>
  <c r="O56" i="8"/>
  <c r="P56" i="8"/>
  <c r="N56" i="8"/>
  <c r="M53" i="8"/>
  <c r="F57" i="8"/>
  <c r="R58" i="8"/>
  <c r="E60" i="8"/>
  <c r="E72" i="6" l="1"/>
  <c r="D72" i="12"/>
  <c r="I74" i="5"/>
  <c r="O73" i="5"/>
  <c r="G50" i="8"/>
  <c r="I51" i="8" s="1"/>
  <c r="G51" i="8"/>
  <c r="C50" i="8"/>
  <c r="B50" i="8"/>
  <c r="E52" i="8"/>
  <c r="I59" i="8"/>
  <c r="L59" i="8"/>
  <c r="H59" i="8"/>
  <c r="R59" i="8"/>
  <c r="I75" i="5" l="1"/>
  <c r="O74" i="5"/>
  <c r="D73" i="12"/>
  <c r="E73" i="6"/>
  <c r="O59" i="8"/>
  <c r="P59" i="8"/>
  <c r="F60" i="8"/>
  <c r="F59" i="8"/>
  <c r="R61" i="8"/>
  <c r="E63" i="8"/>
  <c r="I76" i="5" l="1"/>
  <c r="O75" i="5"/>
  <c r="D74" i="12"/>
  <c r="E74" i="6"/>
  <c r="R62" i="8"/>
  <c r="F63" i="8" s="1"/>
  <c r="I62" i="8"/>
  <c r="L62" i="8"/>
  <c r="H62" i="8"/>
  <c r="I77" i="5" l="1"/>
  <c r="O76" i="5"/>
  <c r="E75" i="6"/>
  <c r="D75" i="12"/>
  <c r="O62" i="8"/>
  <c r="M56" i="8"/>
  <c r="Q56" i="8" s="1"/>
  <c r="P62" i="8"/>
  <c r="N62" i="8"/>
  <c r="M59" i="8"/>
  <c r="F62" i="8"/>
  <c r="E66" i="8"/>
  <c r="R64" i="8"/>
  <c r="I78" i="5" l="1"/>
  <c r="O77" i="5"/>
  <c r="D76" i="12"/>
  <c r="E76" i="6"/>
  <c r="G57" i="8"/>
  <c r="G56" i="8"/>
  <c r="I57" i="8" s="1"/>
  <c r="C56" i="8"/>
  <c r="B56" i="8"/>
  <c r="E58" i="8"/>
  <c r="I65" i="8"/>
  <c r="H65" i="8"/>
  <c r="L65" i="8"/>
  <c r="O65" i="8" s="1"/>
  <c r="R65" i="8"/>
  <c r="F65" i="8" s="1"/>
  <c r="I79" i="5" l="1"/>
  <c r="O78" i="5"/>
  <c r="D77" i="12"/>
  <c r="E77" i="6"/>
  <c r="P65" i="8"/>
  <c r="E69" i="8"/>
  <c r="R67" i="8"/>
  <c r="F66" i="8"/>
  <c r="I80" i="5" l="1"/>
  <c r="O79" i="5"/>
  <c r="D78" i="12"/>
  <c r="E78" i="6"/>
  <c r="L68" i="8"/>
  <c r="N68" i="8" s="1"/>
  <c r="I68" i="8"/>
  <c r="H68" i="8"/>
  <c r="R68" i="8"/>
  <c r="F69" i="8" s="1"/>
  <c r="I81" i="5" l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O154" i="5" s="1"/>
  <c r="D154" i="12" s="1"/>
  <c r="O80" i="5"/>
  <c r="E79" i="6"/>
  <c r="D79" i="12"/>
  <c r="P68" i="8"/>
  <c r="O68" i="8"/>
  <c r="M62" i="8"/>
  <c r="Q62" i="8" s="1"/>
  <c r="M65" i="8"/>
  <c r="F68" i="8"/>
  <c r="G69" i="8"/>
  <c r="G68" i="8"/>
  <c r="I69" i="8" s="1"/>
  <c r="E72" i="8"/>
  <c r="R70" i="8"/>
  <c r="G62" i="8" l="1"/>
  <c r="I63" i="8" s="1"/>
  <c r="G63" i="8"/>
  <c r="I155" i="5"/>
  <c r="O155" i="5" s="1"/>
  <c r="E154" i="6"/>
  <c r="E80" i="6"/>
  <c r="D80" i="12"/>
  <c r="C62" i="8"/>
  <c r="B62" i="8"/>
  <c r="E64" i="8"/>
  <c r="N71" i="8"/>
  <c r="R71" i="8"/>
  <c r="F72" i="8" s="1"/>
  <c r="L71" i="8"/>
  <c r="I71" i="8"/>
  <c r="O71" i="8"/>
  <c r="M71" i="8"/>
  <c r="H71" i="8"/>
  <c r="P71" i="8"/>
  <c r="I156" i="5" l="1"/>
  <c r="I157" i="5" s="1"/>
  <c r="E155" i="6"/>
  <c r="D155" i="12"/>
  <c r="M68" i="8"/>
  <c r="Q68" i="8" s="1"/>
  <c r="AA70" i="8" s="1"/>
  <c r="AA68" i="8" s="1"/>
  <c r="G72" i="8"/>
  <c r="G71" i="8"/>
  <c r="I72" i="8" s="1"/>
  <c r="F71" i="8"/>
  <c r="Q71" i="8"/>
  <c r="R73" i="8"/>
  <c r="E75" i="8"/>
  <c r="O156" i="5" l="1"/>
  <c r="D156" i="12" s="1"/>
  <c r="O157" i="5"/>
  <c r="I158" i="5"/>
  <c r="U70" i="8"/>
  <c r="U68" i="8" s="1"/>
  <c r="AE70" i="8"/>
  <c r="AE68" i="8" s="1"/>
  <c r="T70" i="8"/>
  <c r="T68" i="8" s="1"/>
  <c r="Z70" i="8"/>
  <c r="Z68" i="8" s="1"/>
  <c r="AC70" i="8"/>
  <c r="AC68" i="8" s="1"/>
  <c r="X70" i="8"/>
  <c r="X68" i="8" s="1"/>
  <c r="AD70" i="8"/>
  <c r="AD68" i="8" s="1"/>
  <c r="W70" i="8"/>
  <c r="W68" i="8" s="1"/>
  <c r="V70" i="8"/>
  <c r="V68" i="8" s="1"/>
  <c r="AB70" i="8"/>
  <c r="AB68" i="8" s="1"/>
  <c r="D70" i="8"/>
  <c r="D68" i="8" s="1"/>
  <c r="Y70" i="8"/>
  <c r="Y68" i="8" s="1"/>
  <c r="B68" i="8"/>
  <c r="C68" i="8"/>
  <c r="E70" i="8"/>
  <c r="M74" i="8"/>
  <c r="N74" i="8"/>
  <c r="O74" i="8"/>
  <c r="L74" i="8"/>
  <c r="H74" i="8"/>
  <c r="I74" i="8"/>
  <c r="R74" i="8"/>
  <c r="F75" i="8" s="1"/>
  <c r="P74" i="8"/>
  <c r="C71" i="8"/>
  <c r="B71" i="8"/>
  <c r="E73" i="8"/>
  <c r="D73" i="8" l="1"/>
  <c r="D71" i="8" s="1"/>
  <c r="E156" i="6"/>
  <c r="O158" i="5"/>
  <c r="I159" i="5"/>
  <c r="E157" i="6"/>
  <c r="D157" i="12"/>
  <c r="AB73" i="8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I160" i="5" l="1"/>
  <c r="O159" i="5"/>
  <c r="D158" i="12"/>
  <c r="E158" i="6"/>
  <c r="H77" i="8"/>
  <c r="O77" i="8"/>
  <c r="P77" i="8"/>
  <c r="R77" i="8"/>
  <c r="F77" i="8" s="1"/>
  <c r="L77" i="8"/>
  <c r="N77" i="8"/>
  <c r="M77" i="8"/>
  <c r="I77" i="8"/>
  <c r="E76" i="8"/>
  <c r="B74" i="8"/>
  <c r="C74" i="8"/>
  <c r="I161" i="5" l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O160" i="5"/>
  <c r="D159" i="12"/>
  <c r="E159" i="6"/>
  <c r="V76" i="8"/>
  <c r="V74" i="8" s="1"/>
  <c r="W76" i="8"/>
  <c r="W74" i="8" s="1"/>
  <c r="AD76" i="8"/>
  <c r="AD74" i="8" s="1"/>
  <c r="U76" i="8"/>
  <c r="U74" i="8" s="1"/>
  <c r="Y76" i="8"/>
  <c r="Y74" i="8" s="1"/>
  <c r="AA76" i="8"/>
  <c r="AA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O170" i="5" l="1"/>
  <c r="E170" i="6" s="1"/>
  <c r="E160" i="6"/>
  <c r="D160" i="12"/>
  <c r="I172" i="5"/>
  <c r="O171" i="5"/>
  <c r="R80" i="8"/>
  <c r="AB79" i="8" s="1"/>
  <c r="AB77" i="8" s="1"/>
  <c r="I80" i="8"/>
  <c r="N80" i="8"/>
  <c r="H80" i="8"/>
  <c r="P80" i="8"/>
  <c r="M80" i="8"/>
  <c r="O80" i="8"/>
  <c r="L80" i="8"/>
  <c r="E79" i="8"/>
  <c r="C77" i="8"/>
  <c r="B77" i="8"/>
  <c r="D170" i="12" l="1"/>
  <c r="D171" i="12"/>
  <c r="E171" i="6"/>
  <c r="O172" i="5"/>
  <c r="I173" i="5"/>
  <c r="AC79" i="8"/>
  <c r="AC77" i="8" s="1"/>
  <c r="Z79" i="8"/>
  <c r="Z77" i="8" s="1"/>
  <c r="X79" i="8"/>
  <c r="X77" i="8" s="1"/>
  <c r="F80" i="8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I174" i="5" l="1"/>
  <c r="O173" i="5"/>
  <c r="E172" i="6"/>
  <c r="D172" i="12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D173" i="12" l="1"/>
  <c r="E173" i="6"/>
  <c r="O174" i="5"/>
  <c r="I175" i="5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I176" i="5" l="1"/>
  <c r="O175" i="5"/>
  <c r="D174" i="12"/>
  <c r="E174" i="6"/>
  <c r="R86" i="8"/>
  <c r="W85" i="8" s="1"/>
  <c r="W83" i="8" s="1"/>
  <c r="L86" i="8"/>
  <c r="P86" i="8"/>
  <c r="N86" i="8"/>
  <c r="H86" i="8"/>
  <c r="O86" i="8"/>
  <c r="M86" i="8"/>
  <c r="I86" i="8"/>
  <c r="D85" i="8"/>
  <c r="D83" i="8" s="1"/>
  <c r="E85" i="8"/>
  <c r="B83" i="8"/>
  <c r="C83" i="8"/>
  <c r="D175" i="12" l="1"/>
  <c r="E175" i="6"/>
  <c r="O176" i="5"/>
  <c r="I177" i="5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I178" i="5" l="1"/>
  <c r="O177" i="5"/>
  <c r="E176" i="6"/>
  <c r="D176" i="12"/>
  <c r="O89" i="8"/>
  <c r="M89" i="8"/>
  <c r="L89" i="8"/>
  <c r="I89" i="8"/>
  <c r="R89" i="8"/>
  <c r="X88" i="8" s="1"/>
  <c r="X86" i="8" s="1"/>
  <c r="P89" i="8"/>
  <c r="H89" i="8"/>
  <c r="N89" i="8"/>
  <c r="C86" i="8"/>
  <c r="B86" i="8"/>
  <c r="E88" i="8"/>
  <c r="V88" i="8" l="1"/>
  <c r="V86" i="8" s="1"/>
  <c r="I179" i="5"/>
  <c r="O178" i="5"/>
  <c r="D88" i="8"/>
  <c r="D86" i="8" s="1"/>
  <c r="E177" i="6"/>
  <c r="D177" i="12"/>
  <c r="AB88" i="8"/>
  <c r="AB86" i="8" s="1"/>
  <c r="AA88" i="8"/>
  <c r="AA86" i="8" s="1"/>
  <c r="F90" i="8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180" i="5" l="1"/>
  <c r="O179" i="5"/>
  <c r="E178" i="6"/>
  <c r="D178" i="12"/>
  <c r="I92" i="8"/>
  <c r="O92" i="8"/>
  <c r="M92" i="8"/>
  <c r="R92" i="8"/>
  <c r="W91" i="8" s="1"/>
  <c r="W89" i="8" s="1"/>
  <c r="L92" i="8"/>
  <c r="P92" i="8"/>
  <c r="H92" i="8"/>
  <c r="N92" i="8"/>
  <c r="B89" i="8"/>
  <c r="E91" i="8"/>
  <c r="C89" i="8"/>
  <c r="I181" i="5" l="1"/>
  <c r="O180" i="5"/>
  <c r="D179" i="12"/>
  <c r="E179" i="6"/>
  <c r="Z91" i="8"/>
  <c r="Z89" i="8" s="1"/>
  <c r="D91" i="8"/>
  <c r="D89" i="8" s="1"/>
  <c r="F93" i="8"/>
  <c r="V91" i="8"/>
  <c r="V89" i="8" s="1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I182" i="5" l="1"/>
  <c r="O181" i="5"/>
  <c r="D180" i="12"/>
  <c r="E180" i="6"/>
  <c r="M95" i="8"/>
  <c r="L95" i="8"/>
  <c r="O95" i="8"/>
  <c r="I95" i="8"/>
  <c r="P95" i="8"/>
  <c r="H95" i="8"/>
  <c r="N95" i="8"/>
  <c r="R95" i="8"/>
  <c r="AA94" i="8" s="1"/>
  <c r="AA92" i="8" s="1"/>
  <c r="E94" i="8"/>
  <c r="C92" i="8"/>
  <c r="B92" i="8"/>
  <c r="I183" i="5" l="1"/>
  <c r="O182" i="5"/>
  <c r="E181" i="6"/>
  <c r="D181" i="12"/>
  <c r="Y94" i="8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I184" i="5" l="1"/>
  <c r="O183" i="5"/>
  <c r="E182" i="6"/>
  <c r="D182" i="12"/>
  <c r="R98" i="8"/>
  <c r="AB97" i="8" s="1"/>
  <c r="AB95" i="8" s="1"/>
  <c r="M98" i="8"/>
  <c r="N98" i="8"/>
  <c r="L98" i="8"/>
  <c r="H98" i="8"/>
  <c r="I98" i="8"/>
  <c r="O98" i="8"/>
  <c r="P98" i="8"/>
  <c r="E97" i="8"/>
  <c r="C95" i="8"/>
  <c r="B95" i="8"/>
  <c r="I185" i="5" l="1"/>
  <c r="I186" i="5" s="1"/>
  <c r="I187" i="5" s="1"/>
  <c r="I188" i="5" s="1"/>
  <c r="O188" i="5" s="1"/>
  <c r="D188" i="12" s="1"/>
  <c r="O184" i="5"/>
  <c r="E183" i="6"/>
  <c r="D183" i="12"/>
  <c r="AE97" i="8"/>
  <c r="AE95" i="8" s="1"/>
  <c r="U97" i="8"/>
  <c r="U95" i="8" s="1"/>
  <c r="F98" i="8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I189" i="5" l="1"/>
  <c r="E188" i="6"/>
  <c r="D184" i="12"/>
  <c r="E184" i="6"/>
  <c r="C98" i="8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I190" i="5" l="1"/>
  <c r="O189" i="5"/>
  <c r="D100" i="8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D189" i="12" l="1"/>
  <c r="E189" i="6"/>
  <c r="O190" i="5"/>
  <c r="I191" i="5"/>
  <c r="N104" i="8"/>
  <c r="H104" i="8"/>
  <c r="L104" i="8"/>
  <c r="I104" i="8"/>
  <c r="R104" i="8"/>
  <c r="F105" i="8" s="1"/>
  <c r="M104" i="8"/>
  <c r="P104" i="8"/>
  <c r="O104" i="8"/>
  <c r="B101" i="8"/>
  <c r="C101" i="8"/>
  <c r="E103" i="8"/>
  <c r="I192" i="5" l="1"/>
  <c r="O191" i="5"/>
  <c r="D190" i="12"/>
  <c r="E190" i="6"/>
  <c r="AA103" i="8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E191" i="6" l="1"/>
  <c r="D191" i="12"/>
  <c r="I193" i="5"/>
  <c r="O192" i="5"/>
  <c r="M107" i="8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Y106" i="8"/>
  <c r="Y104" i="8" s="1"/>
  <c r="E192" i="6" l="1"/>
  <c r="D192" i="12"/>
  <c r="I194" i="5"/>
  <c r="O193" i="5"/>
  <c r="AE106" i="8"/>
  <c r="AE104" i="8" s="1"/>
  <c r="W106" i="8"/>
  <c r="W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D193" i="12" l="1"/>
  <c r="E193" i="6"/>
  <c r="I195" i="5"/>
  <c r="O194" i="5"/>
  <c r="P110" i="8"/>
  <c r="N110" i="8"/>
  <c r="R110" i="8"/>
  <c r="F111" i="8" s="1"/>
  <c r="O110" i="8"/>
  <c r="H110" i="8"/>
  <c r="I110" i="8"/>
  <c r="L110" i="8"/>
  <c r="M110" i="8"/>
  <c r="E109" i="8"/>
  <c r="B107" i="8"/>
  <c r="AC109" i="8"/>
  <c r="AC107" i="8" s="1"/>
  <c r="C107" i="8"/>
  <c r="D194" i="12" l="1"/>
  <c r="E194" i="6"/>
  <c r="I196" i="5"/>
  <c r="O195" i="5"/>
  <c r="D109" i="8"/>
  <c r="D107" i="8" s="1"/>
  <c r="Y109" i="8"/>
  <c r="Y107" i="8" s="1"/>
  <c r="U109" i="8"/>
  <c r="U107" i="8" s="1"/>
  <c r="T109" i="8"/>
  <c r="T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E195" i="6" l="1"/>
  <c r="D195" i="12"/>
  <c r="I197" i="5"/>
  <c r="O196" i="5"/>
  <c r="B110" i="8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D196" i="12" l="1"/>
  <c r="E196" i="6"/>
  <c r="I198" i="5"/>
  <c r="O197" i="5"/>
  <c r="F114" i="8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I199" i="5" l="1"/>
  <c r="I200" i="5" s="1"/>
  <c r="I201" i="5" s="1"/>
  <c r="I202" i="5" s="1"/>
  <c r="I203" i="5" s="1"/>
  <c r="I204" i="5" s="1"/>
  <c r="O198" i="5"/>
  <c r="E197" i="6"/>
  <c r="D197" i="12"/>
  <c r="I205" i="5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204" i="5"/>
  <c r="B113" i="8"/>
  <c r="C113" i="8"/>
  <c r="E115" i="8"/>
  <c r="M116" i="8"/>
  <c r="L116" i="8"/>
  <c r="P116" i="8"/>
  <c r="R116" i="8"/>
  <c r="H116" i="8"/>
  <c r="O116" i="8"/>
  <c r="N116" i="8"/>
  <c r="I116" i="8"/>
  <c r="D198" i="12" l="1"/>
  <c r="E198" i="6"/>
  <c r="D204" i="12"/>
  <c r="E204" i="6"/>
  <c r="F116" i="8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Y130" i="8"/>
  <c r="Y128" i="8" s="1"/>
  <c r="T130" i="8" l="1"/>
  <c r="T128" i="8" s="1"/>
  <c r="D130" i="8"/>
  <c r="D128" i="8" s="1"/>
  <c r="F132" i="8"/>
  <c r="U130" i="8"/>
  <c r="U128" i="8" s="1"/>
  <c r="Z130" i="8"/>
  <c r="Z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X145" i="8"/>
  <c r="X143" i="8" s="1"/>
  <c r="Z145" i="8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N32" i="8"/>
  <c r="Q32" i="8" s="1"/>
  <c r="G33" i="8" l="1"/>
  <c r="G32" i="8"/>
  <c r="I33" i="8" s="1"/>
  <c r="Q149" i="8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B32" i="8"/>
  <c r="E34" i="8"/>
  <c r="C32" i="8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N26" i="8"/>
  <c r="Q26" i="8" s="1"/>
  <c r="G26" i="8" l="1"/>
  <c r="I27" i="8" s="1"/>
  <c r="G27" i="8"/>
  <c r="D151" i="8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B26" i="8"/>
  <c r="E28" i="8"/>
  <c r="C2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N20" i="8"/>
  <c r="Q20" i="8" s="1"/>
  <c r="G21" i="8" l="1"/>
  <c r="G20" i="8"/>
  <c r="I21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22" i="8"/>
  <c r="B20" i="8"/>
  <c r="C20" i="8"/>
  <c r="E160" i="8" l="1"/>
  <c r="C158" i="8"/>
  <c r="B158" i="8"/>
  <c r="L161" i="8"/>
  <c r="P161" i="8"/>
  <c r="I161" i="8"/>
  <c r="M161" i="8"/>
  <c r="H161" i="8"/>
  <c r="R161" i="8"/>
  <c r="AB160" i="8" s="1"/>
  <c r="AB158" i="8" s="1"/>
  <c r="N161" i="8"/>
  <c r="O161" i="8"/>
  <c r="N59" i="8" l="1"/>
  <c r="Q59" i="8" s="1"/>
  <c r="N65" i="8"/>
  <c r="Q65" i="8" s="1"/>
  <c r="N47" i="8"/>
  <c r="Q47" i="8" s="1"/>
  <c r="B47" i="8" s="1"/>
  <c r="N53" i="8"/>
  <c r="Q53" i="8" s="1"/>
  <c r="N35" i="8"/>
  <c r="Q35" i="8" s="1"/>
  <c r="N41" i="8"/>
  <c r="Q41" i="8" s="1"/>
  <c r="N23" i="8"/>
  <c r="Q23" i="8" s="1"/>
  <c r="N29" i="8"/>
  <c r="Q29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66" i="8" l="1"/>
  <c r="W61" i="8"/>
  <c r="G60" i="8"/>
  <c r="G54" i="8"/>
  <c r="E61" i="8"/>
  <c r="AB61" i="8"/>
  <c r="AA61" i="8"/>
  <c r="D61" i="8"/>
  <c r="D58" i="8" s="1"/>
  <c r="D56" i="8" s="1"/>
  <c r="T61" i="8"/>
  <c r="AE61" i="8"/>
  <c r="AE58" i="8" s="1"/>
  <c r="AE56" i="8" s="1"/>
  <c r="AD61" i="8"/>
  <c r="AD58" i="8" s="1"/>
  <c r="AD56" i="8" s="1"/>
  <c r="Y61" i="8"/>
  <c r="Y58" i="8" s="1"/>
  <c r="Y56" i="8" s="1"/>
  <c r="AC61" i="8"/>
  <c r="AC58" i="8" s="1"/>
  <c r="AC56" i="8" s="1"/>
  <c r="C59" i="8"/>
  <c r="Z61" i="8"/>
  <c r="Z58" i="8" s="1"/>
  <c r="Z56" i="8" s="1"/>
  <c r="X61" i="8"/>
  <c r="X58" i="8" s="1"/>
  <c r="X56" i="8" s="1"/>
  <c r="U61" i="8"/>
  <c r="U58" i="8" s="1"/>
  <c r="U56" i="8" s="1"/>
  <c r="B59" i="8"/>
  <c r="V61" i="8"/>
  <c r="V58" i="8" s="1"/>
  <c r="V56" i="8" s="1"/>
  <c r="X67" i="8"/>
  <c r="U67" i="8"/>
  <c r="Y67" i="8"/>
  <c r="W67" i="8"/>
  <c r="T67" i="8"/>
  <c r="V67" i="8"/>
  <c r="AC67" i="8"/>
  <c r="C65" i="8"/>
  <c r="AD67" i="8"/>
  <c r="AB67" i="8"/>
  <c r="AA67" i="8"/>
  <c r="D67" i="8"/>
  <c r="E67" i="8"/>
  <c r="AE67" i="8"/>
  <c r="Z67" i="8"/>
  <c r="B65" i="8"/>
  <c r="T59" i="8"/>
  <c r="T58" i="8"/>
  <c r="T56" i="8" s="1"/>
  <c r="AA59" i="8"/>
  <c r="AA58" i="8"/>
  <c r="AA56" i="8" s="1"/>
  <c r="AE59" i="8"/>
  <c r="AB59" i="8"/>
  <c r="AB58" i="8"/>
  <c r="AB56" i="8" s="1"/>
  <c r="AD59" i="8"/>
  <c r="D59" i="8"/>
  <c r="Y59" i="8"/>
  <c r="AC59" i="8"/>
  <c r="Z59" i="8"/>
  <c r="X59" i="8"/>
  <c r="U59" i="8"/>
  <c r="V59" i="8"/>
  <c r="W59" i="8"/>
  <c r="W58" i="8"/>
  <c r="W56" i="8" s="1"/>
  <c r="E37" i="8"/>
  <c r="AB37" i="8" s="1"/>
  <c r="AB34" i="8" s="1"/>
  <c r="AB32" i="8" s="1"/>
  <c r="G36" i="8"/>
  <c r="V49" i="8"/>
  <c r="V46" i="8" s="1"/>
  <c r="V44" i="8" s="1"/>
  <c r="AD49" i="8"/>
  <c r="AD46" i="8" s="1"/>
  <c r="AD44" i="8" s="1"/>
  <c r="X49" i="8"/>
  <c r="X46" i="8" s="1"/>
  <c r="X44" i="8" s="1"/>
  <c r="W49" i="8"/>
  <c r="W46" i="8" s="1"/>
  <c r="W44" i="8" s="1"/>
  <c r="D49" i="8"/>
  <c r="D46" i="8" s="1"/>
  <c r="D44" i="8" s="1"/>
  <c r="AC49" i="8"/>
  <c r="AC46" i="8" s="1"/>
  <c r="AC44" i="8" s="1"/>
  <c r="Z49" i="8"/>
  <c r="Z46" i="8" s="1"/>
  <c r="Z44" i="8" s="1"/>
  <c r="Y49" i="8"/>
  <c r="Y46" i="8" s="1"/>
  <c r="Y44" i="8" s="1"/>
  <c r="AE49" i="8"/>
  <c r="AE46" i="8" s="1"/>
  <c r="AE44" i="8" s="1"/>
  <c r="E49" i="8"/>
  <c r="U49" i="8"/>
  <c r="U46" i="8" s="1"/>
  <c r="U44" i="8" s="1"/>
  <c r="AB49" i="8"/>
  <c r="AB46" i="8" s="1"/>
  <c r="AB44" i="8" s="1"/>
  <c r="AA49" i="8"/>
  <c r="AA46" i="8" s="1"/>
  <c r="AA44" i="8" s="1"/>
  <c r="T49" i="8"/>
  <c r="T46" i="8" s="1"/>
  <c r="T44" i="8" s="1"/>
  <c r="C47" i="8"/>
  <c r="C53" i="8"/>
  <c r="AD55" i="8"/>
  <c r="T55" i="8"/>
  <c r="Y55" i="8"/>
  <c r="AE55" i="8"/>
  <c r="V55" i="8"/>
  <c r="D55" i="8"/>
  <c r="Z55" i="8"/>
  <c r="AA55" i="8"/>
  <c r="W55" i="8"/>
  <c r="AB55" i="8"/>
  <c r="AC55" i="8"/>
  <c r="B53" i="8"/>
  <c r="U55" i="8"/>
  <c r="X55" i="8"/>
  <c r="E55" i="8"/>
  <c r="G48" i="8"/>
  <c r="G42" i="8"/>
  <c r="G30" i="8"/>
  <c r="V47" i="8"/>
  <c r="D47" i="8"/>
  <c r="X47" i="8"/>
  <c r="AC47" i="8"/>
  <c r="AD47" i="8"/>
  <c r="Z47" i="8"/>
  <c r="W47" i="8"/>
  <c r="Y47" i="8"/>
  <c r="AE47" i="8"/>
  <c r="U47" i="8"/>
  <c r="AB47" i="8"/>
  <c r="AA47" i="8"/>
  <c r="T47" i="8"/>
  <c r="C23" i="8"/>
  <c r="G24" i="8"/>
  <c r="AB35" i="8"/>
  <c r="T35" i="8"/>
  <c r="U35" i="8"/>
  <c r="AA37" i="8"/>
  <c r="AA34" i="8" s="1"/>
  <c r="AA32" i="8" s="1"/>
  <c r="X35" i="8"/>
  <c r="Y37" i="8"/>
  <c r="Y34" i="8" s="1"/>
  <c r="Y32" i="8" s="1"/>
  <c r="AC35" i="8"/>
  <c r="X37" i="8"/>
  <c r="X34" i="8" s="1"/>
  <c r="X32" i="8" s="1"/>
  <c r="B35" i="8"/>
  <c r="Y35" i="8"/>
  <c r="AD35" i="8"/>
  <c r="AC37" i="8"/>
  <c r="AC34" i="8" s="1"/>
  <c r="AC32" i="8" s="1"/>
  <c r="T37" i="8"/>
  <c r="T34" i="8" s="1"/>
  <c r="T32" i="8" s="1"/>
  <c r="AE35" i="8"/>
  <c r="AA35" i="8"/>
  <c r="AE37" i="8"/>
  <c r="AE34" i="8" s="1"/>
  <c r="AE32" i="8" s="1"/>
  <c r="U37" i="8"/>
  <c r="U34" i="8" s="1"/>
  <c r="U32" i="8" s="1"/>
  <c r="D37" i="8"/>
  <c r="V37" i="8"/>
  <c r="V34" i="8" s="1"/>
  <c r="V32" i="8" s="1"/>
  <c r="C35" i="8"/>
  <c r="W35" i="8"/>
  <c r="V35" i="8"/>
  <c r="W37" i="8"/>
  <c r="W34" i="8" s="1"/>
  <c r="W32" i="8" s="1"/>
  <c r="Z35" i="8"/>
  <c r="AD37" i="8"/>
  <c r="AD34" i="8" s="1"/>
  <c r="AD32" i="8" s="1"/>
  <c r="Z37" i="8"/>
  <c r="Z34" i="8" s="1"/>
  <c r="Z32" i="8" s="1"/>
  <c r="X43" i="8"/>
  <c r="E43" i="8"/>
  <c r="AE43" i="8"/>
  <c r="B41" i="8"/>
  <c r="U43" i="8"/>
  <c r="T43" i="8"/>
  <c r="AC43" i="8"/>
  <c r="Y43" i="8"/>
  <c r="Z43" i="8"/>
  <c r="D43" i="8"/>
  <c r="AD43" i="8"/>
  <c r="AB43" i="8"/>
  <c r="V43" i="8"/>
  <c r="W43" i="8"/>
  <c r="C41" i="8"/>
  <c r="AA43" i="8"/>
  <c r="AC23" i="8"/>
  <c r="T25" i="8"/>
  <c r="T22" i="8" s="1"/>
  <c r="T20" i="8" s="1"/>
  <c r="D35" i="8"/>
  <c r="D34" i="8"/>
  <c r="D32" i="8" s="1"/>
  <c r="AA23" i="8"/>
  <c r="D25" i="8"/>
  <c r="D22" i="8" s="1"/>
  <c r="D20" i="8" s="1"/>
  <c r="D23" i="8"/>
  <c r="X25" i="8"/>
  <c r="X22" i="8" s="1"/>
  <c r="X20" i="8" s="1"/>
  <c r="W23" i="8"/>
  <c r="T23" i="8"/>
  <c r="B23" i="8"/>
  <c r="AA25" i="8"/>
  <c r="AA22" i="8" s="1"/>
  <c r="AA20" i="8" s="1"/>
  <c r="AD23" i="8"/>
  <c r="Z23" i="8"/>
  <c r="AC25" i="8"/>
  <c r="AC22" i="8" s="1"/>
  <c r="AC20" i="8" s="1"/>
  <c r="U25" i="8"/>
  <c r="U22" i="8" s="1"/>
  <c r="U20" i="8" s="1"/>
  <c r="X23" i="8"/>
  <c r="U23" i="8"/>
  <c r="AE23" i="8"/>
  <c r="AE25" i="8"/>
  <c r="AE22" i="8" s="1"/>
  <c r="AE20" i="8" s="1"/>
  <c r="V25" i="8"/>
  <c r="V22" i="8" s="1"/>
  <c r="V20" i="8" s="1"/>
  <c r="W25" i="8"/>
  <c r="W22" i="8" s="1"/>
  <c r="W20" i="8" s="1"/>
  <c r="Y25" i="8"/>
  <c r="Y22" i="8" s="1"/>
  <c r="Y20" i="8" s="1"/>
  <c r="Y23" i="8"/>
  <c r="AB23" i="8"/>
  <c r="V23" i="8"/>
  <c r="AB25" i="8"/>
  <c r="AB22" i="8" s="1"/>
  <c r="AB20" i="8" s="1"/>
  <c r="Z25" i="8"/>
  <c r="Z22" i="8" s="1"/>
  <c r="Z20" i="8" s="1"/>
  <c r="E25" i="8"/>
  <c r="AD25" i="8" s="1"/>
  <c r="AD22" i="8" s="1"/>
  <c r="AD20" i="8" s="1"/>
  <c r="W31" i="8"/>
  <c r="AA31" i="8"/>
  <c r="V31" i="8"/>
  <c r="AE31" i="8"/>
  <c r="C29" i="8"/>
  <c r="AB31" i="8"/>
  <c r="AB28" i="8" s="1"/>
  <c r="AB26" i="8" s="1"/>
  <c r="U31" i="8"/>
  <c r="AD31" i="8"/>
  <c r="Z31" i="8"/>
  <c r="E31" i="8"/>
  <c r="D31" i="8" s="1"/>
  <c r="T31" i="8"/>
  <c r="T28" i="8" s="1"/>
  <c r="T26" i="8" s="1"/>
  <c r="X31" i="8"/>
  <c r="AC31" i="8"/>
  <c r="B29" i="8"/>
  <c r="Y31" i="8"/>
  <c r="T29" i="8"/>
  <c r="AB29" i="8"/>
  <c r="G18" i="8"/>
  <c r="B17" i="8"/>
  <c r="E19" i="8"/>
  <c r="AD19" i="8" s="1"/>
  <c r="AD16" i="8" s="1"/>
  <c r="AD14" i="8" s="1"/>
  <c r="C17" i="8"/>
  <c r="Y19" i="8"/>
  <c r="Y16" i="8" s="1"/>
  <c r="Y14" i="8" s="1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59" i="8" l="1"/>
  <c r="I60" i="8" s="1"/>
  <c r="AD65" i="8"/>
  <c r="AD64" i="8"/>
  <c r="AD62" i="8" s="1"/>
  <c r="T65" i="8"/>
  <c r="T64" i="8"/>
  <c r="T62" i="8" s="1"/>
  <c r="X65" i="8"/>
  <c r="X64" i="8"/>
  <c r="X62" i="8" s="1"/>
  <c r="D65" i="8"/>
  <c r="D64" i="8"/>
  <c r="D62" i="8" s="1"/>
  <c r="W65" i="8"/>
  <c r="W64" i="8"/>
  <c r="W62" i="8" s="1"/>
  <c r="Z65" i="8"/>
  <c r="Z64" i="8"/>
  <c r="Z62" i="8" s="1"/>
  <c r="AA65" i="8"/>
  <c r="AA64" i="8"/>
  <c r="AA62" i="8" s="1"/>
  <c r="AC65" i="8"/>
  <c r="AC64" i="8"/>
  <c r="AC62" i="8" s="1"/>
  <c r="Y65" i="8"/>
  <c r="Y64" i="8"/>
  <c r="Y62" i="8" s="1"/>
  <c r="AE65" i="8"/>
  <c r="AE64" i="8"/>
  <c r="AE62" i="8" s="1"/>
  <c r="AB65" i="8"/>
  <c r="AB64" i="8"/>
  <c r="AB62" i="8" s="1"/>
  <c r="V65" i="8"/>
  <c r="V64" i="8"/>
  <c r="V62" i="8" s="1"/>
  <c r="U65" i="8"/>
  <c r="U64" i="8"/>
  <c r="U62" i="8" s="1"/>
  <c r="G47" i="8"/>
  <c r="I48" i="8" s="1"/>
  <c r="G35" i="8"/>
  <c r="I36" i="8" s="1"/>
  <c r="AA53" i="8"/>
  <c r="AA52" i="8"/>
  <c r="AA50" i="8" s="1"/>
  <c r="AE53" i="8"/>
  <c r="AE52" i="8"/>
  <c r="AE50" i="8" s="1"/>
  <c r="AC53" i="8"/>
  <c r="AC52" i="8"/>
  <c r="AC50" i="8" s="1"/>
  <c r="Z53" i="8"/>
  <c r="Z52" i="8"/>
  <c r="Z50" i="8" s="1"/>
  <c r="Y53" i="8"/>
  <c r="Y52" i="8"/>
  <c r="Y50" i="8" s="1"/>
  <c r="X53" i="8"/>
  <c r="X52" i="8"/>
  <c r="X50" i="8" s="1"/>
  <c r="AB53" i="8"/>
  <c r="AB52" i="8"/>
  <c r="AB50" i="8" s="1"/>
  <c r="D53" i="8"/>
  <c r="D52" i="8"/>
  <c r="D50" i="8" s="1"/>
  <c r="T53" i="8"/>
  <c r="T52" i="8"/>
  <c r="T50" i="8" s="1"/>
  <c r="U53" i="8"/>
  <c r="U52" i="8"/>
  <c r="U50" i="8" s="1"/>
  <c r="W53" i="8"/>
  <c r="W52" i="8"/>
  <c r="W50" i="8" s="1"/>
  <c r="V53" i="8"/>
  <c r="V52" i="8"/>
  <c r="V50" i="8" s="1"/>
  <c r="AD53" i="8"/>
  <c r="AD52" i="8"/>
  <c r="AD50" i="8" s="1"/>
  <c r="G23" i="8"/>
  <c r="I24" i="8" s="1"/>
  <c r="AD41" i="8"/>
  <c r="AD40" i="8"/>
  <c r="AD38" i="8" s="1"/>
  <c r="AC41" i="8"/>
  <c r="AC40" i="8"/>
  <c r="AC38" i="8" s="1"/>
  <c r="AE41" i="8"/>
  <c r="AE40" i="8"/>
  <c r="AE38" i="8" s="1"/>
  <c r="W41" i="8"/>
  <c r="W40" i="8"/>
  <c r="W38" i="8" s="1"/>
  <c r="D41" i="8"/>
  <c r="D40" i="8"/>
  <c r="D38" i="8" s="1"/>
  <c r="T41" i="8"/>
  <c r="T40" i="8"/>
  <c r="T38" i="8" s="1"/>
  <c r="V41" i="8"/>
  <c r="V40" i="8"/>
  <c r="V38" i="8" s="1"/>
  <c r="Z41" i="8"/>
  <c r="Z40" i="8"/>
  <c r="Z38" i="8" s="1"/>
  <c r="U41" i="8"/>
  <c r="U40" i="8"/>
  <c r="U38" i="8" s="1"/>
  <c r="X41" i="8"/>
  <c r="X40" i="8"/>
  <c r="X38" i="8" s="1"/>
  <c r="AA41" i="8"/>
  <c r="AA40" i="8"/>
  <c r="AA38" i="8" s="1"/>
  <c r="AB41" i="8"/>
  <c r="AB40" i="8"/>
  <c r="AB38" i="8" s="1"/>
  <c r="Y41" i="8"/>
  <c r="Y40" i="8"/>
  <c r="Y38" i="8" s="1"/>
  <c r="Y29" i="8"/>
  <c r="Y28" i="8"/>
  <c r="Y26" i="8" s="1"/>
  <c r="U29" i="8"/>
  <c r="U28" i="8"/>
  <c r="U26" i="8" s="1"/>
  <c r="V29" i="8"/>
  <c r="V28" i="8"/>
  <c r="V26" i="8" s="1"/>
  <c r="D29" i="8"/>
  <c r="D28" i="8"/>
  <c r="D26" i="8" s="1"/>
  <c r="AA29" i="8"/>
  <c r="AA28" i="8"/>
  <c r="AA26" i="8" s="1"/>
  <c r="AC29" i="8"/>
  <c r="AC28" i="8"/>
  <c r="AC26" i="8" s="1"/>
  <c r="Z29" i="8"/>
  <c r="Z28" i="8"/>
  <c r="Z26" i="8" s="1"/>
  <c r="W29" i="8"/>
  <c r="W28" i="8"/>
  <c r="W26" i="8" s="1"/>
  <c r="X29" i="8"/>
  <c r="X28" i="8"/>
  <c r="X26" i="8" s="1"/>
  <c r="AD29" i="8"/>
  <c r="AD28" i="8"/>
  <c r="AD26" i="8" s="1"/>
  <c r="AE29" i="8"/>
  <c r="AE28" i="8"/>
  <c r="AE26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G65" i="8" l="1"/>
  <c r="I66" i="8" s="1"/>
  <c r="G53" i="8"/>
  <c r="I54" i="8" s="1"/>
  <c r="G41" i="8"/>
  <c r="I42" i="8" s="1"/>
  <c r="T16" i="8"/>
  <c r="T14" i="8" s="1"/>
  <c r="G29" i="8"/>
  <c r="I30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T174" i="8" l="1"/>
  <c r="T172" i="8" a="1"/>
  <c r="T172" i="8" s="1"/>
  <c r="U172" i="8" s="1" a="1"/>
  <c r="U172" i="8" s="1"/>
  <c r="T173" i="8" a="1"/>
  <c r="T173" i="8" s="1"/>
  <c r="T168" i="8" s="1"/>
  <c r="G17" i="8"/>
  <c r="I18" i="8" s="1"/>
  <c r="D174" i="8"/>
  <c r="D14" i="8"/>
  <c r="D173" i="8" a="1"/>
  <c r="D173" i="8" s="1"/>
  <c r="D168" i="8" s="1"/>
  <c r="D172" i="8" a="1"/>
  <c r="D172" i="8" s="1"/>
  <c r="D167" i="8" s="1"/>
  <c r="T170" i="8"/>
  <c r="U174" i="8"/>
  <c r="T169" i="8"/>
  <c r="T165" i="8" s="1"/>
  <c r="U173" i="8" l="1" a="1"/>
  <c r="U173" i="8" s="1"/>
  <c r="U168" i="8" s="1"/>
  <c r="T171" i="8"/>
  <c r="T166" i="8" s="1"/>
  <c r="T167" i="8"/>
  <c r="D170" i="8"/>
  <c r="D171" i="8"/>
  <c r="D166" i="8" s="1"/>
  <c r="D169" i="8"/>
  <c r="D165" i="8" s="1"/>
  <c r="V174" i="8"/>
  <c r="U169" i="8"/>
  <c r="U165" i="8" s="1"/>
  <c r="U170" i="8"/>
  <c r="V172" i="8" a="1"/>
  <c r="V172" i="8" s="1"/>
  <c r="U167" i="8"/>
  <c r="U171" i="8" l="1"/>
  <c r="U166" i="8" s="1"/>
  <c r="V173" i="8" a="1"/>
  <c r="V173" i="8" s="1"/>
  <c r="W173" i="8" s="1" a="1"/>
  <c r="W173" i="8" s="1"/>
  <c r="W172" i="8" a="1"/>
  <c r="W172" i="8" s="1"/>
  <c r="V167" i="8"/>
  <c r="W174" i="8"/>
  <c r="V169" i="8"/>
  <c r="V165" i="8" s="1"/>
  <c r="V170" i="8"/>
  <c r="V171" i="8" l="1"/>
  <c r="V166" i="8" s="1"/>
  <c r="V168" i="8"/>
  <c r="X172" i="8" a="1"/>
  <c r="X172" i="8" s="1"/>
  <c r="W167" i="8"/>
  <c r="W169" i="8"/>
  <c r="W165" i="8" s="1"/>
  <c r="W170" i="8"/>
  <c r="X174" i="8"/>
  <c r="W171" i="8"/>
  <c r="W168" i="8"/>
  <c r="X173" i="8" a="1"/>
  <c r="X173" i="8" s="1"/>
  <c r="W166" i="8" l="1"/>
  <c r="X168" i="8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Y168" i="8" l="1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AA173" i="8" l="1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J10" i="13" s="1"/>
  <c r="G10" i="13" s="1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R27" i="5" l="1"/>
  <c r="I23" i="8" s="1"/>
  <c r="F157" i="12" l="1"/>
  <c r="G157" i="6"/>
  <c r="G15" i="11"/>
  <c r="F15" i="13" s="1"/>
  <c r="I20" i="8"/>
  <c r="F26" i="6"/>
  <c r="E26" i="12"/>
  <c r="G36" i="6"/>
  <c r="G27" i="6"/>
  <c r="G26" i="6"/>
  <c r="F27" i="6"/>
  <c r="E27" i="12"/>
  <c r="F36" i="6"/>
  <c r="E36" i="12"/>
  <c r="N28" i="6" l="1"/>
  <c r="N29" i="6"/>
  <c r="N30" i="6"/>
  <c r="N31" i="6"/>
  <c r="N32" i="6"/>
  <c r="N33" i="6"/>
  <c r="N34" i="6"/>
  <c r="N35" i="6"/>
  <c r="C17" i="10" l="1"/>
  <c r="C17" i="9"/>
  <c r="F68" i="6" l="1"/>
  <c r="E68" i="12"/>
  <c r="AF14" i="5"/>
  <c r="AF27" i="5"/>
  <c r="AF35" i="5"/>
  <c r="AF20" i="5"/>
  <c r="AF36" i="5"/>
  <c r="AF25" i="5"/>
  <c r="AF23" i="5"/>
  <c r="AF22" i="5"/>
  <c r="AF26" i="5"/>
  <c r="AF34" i="5"/>
  <c r="AF17" i="5"/>
  <c r="AF33" i="5"/>
  <c r="AF39" i="5"/>
  <c r="AF38" i="5"/>
  <c r="AF59" i="5"/>
  <c r="AF43" i="5"/>
  <c r="AF194" i="5"/>
  <c r="AF193" i="5"/>
  <c r="AF69" i="5"/>
  <c r="AF73" i="5"/>
  <c r="AF77" i="5"/>
  <c r="AF74" i="5"/>
  <c r="AF79" i="5"/>
  <c r="AF70" i="5"/>
  <c r="AF160" i="5"/>
  <c r="AF57" i="5"/>
  <c r="AF76" i="5"/>
  <c r="AF21" i="5"/>
  <c r="AF80" i="5"/>
  <c r="AF172" i="5"/>
  <c r="AF32" i="5"/>
  <c r="AF182" i="5"/>
  <c r="AF67" i="5"/>
  <c r="AF44" i="5"/>
  <c r="AF156" i="5"/>
  <c r="AF157" i="5"/>
  <c r="AF192" i="5"/>
  <c r="AF29" i="5"/>
  <c r="AF154" i="5"/>
  <c r="AF204" i="5"/>
  <c r="AF158" i="5"/>
  <c r="AF66" i="5"/>
  <c r="AF181" i="5"/>
  <c r="AF65" i="5"/>
  <c r="AF72" i="5"/>
  <c r="AF171" i="5"/>
  <c r="AF64" i="5"/>
  <c r="AF16" i="5"/>
  <c r="AF78" i="5"/>
  <c r="AF196" i="5"/>
  <c r="AF54" i="5"/>
  <c r="AF188" i="5"/>
  <c r="AF159" i="5"/>
  <c r="AF55" i="5"/>
  <c r="AF41" i="5"/>
  <c r="AF40" i="5"/>
  <c r="AF179" i="5"/>
  <c r="AF177" i="5"/>
  <c r="AF170" i="5"/>
  <c r="AF42" i="5"/>
  <c r="AF31" i="5"/>
  <c r="AF75" i="5"/>
  <c r="AF155" i="5"/>
  <c r="AF24" i="5"/>
  <c r="AF30" i="5"/>
  <c r="AF58" i="5"/>
  <c r="AF180" i="5"/>
  <c r="AF191" i="5"/>
  <c r="AF174" i="5"/>
  <c r="AF175" i="5"/>
  <c r="AF190" i="5"/>
  <c r="AF176" i="5"/>
  <c r="AF18" i="5"/>
  <c r="AF45" i="5"/>
  <c r="AF71" i="5"/>
  <c r="AF195" i="5"/>
  <c r="AF173" i="5"/>
  <c r="AF28" i="5"/>
  <c r="AF178" i="5"/>
  <c r="AF68" i="5"/>
  <c r="AF19" i="5"/>
  <c r="AF197" i="5"/>
  <c r="AF189" i="5"/>
  <c r="AF56" i="5"/>
  <c r="AG24" i="5" l="1"/>
  <c r="S24" i="5"/>
  <c r="R24" i="5"/>
  <c r="AG16" i="5"/>
  <c r="S16" i="5"/>
  <c r="R21" i="5"/>
  <c r="AG21" i="5"/>
  <c r="S21" i="5"/>
  <c r="AG33" i="5"/>
  <c r="R33" i="5"/>
  <c r="S33" i="5"/>
  <c r="AG17" i="5"/>
  <c r="S17" i="5"/>
  <c r="S34" i="5"/>
  <c r="R34" i="5"/>
  <c r="AG34" i="5"/>
  <c r="AG26" i="5"/>
  <c r="S26" i="5"/>
  <c r="AG22" i="5"/>
  <c r="S22" i="5"/>
  <c r="R22" i="5"/>
  <c r="R23" i="5"/>
  <c r="AG23" i="5"/>
  <c r="S23" i="5"/>
  <c r="R25" i="5"/>
  <c r="S25" i="5"/>
  <c r="AG25" i="5"/>
  <c r="AG36" i="5"/>
  <c r="S36" i="5"/>
  <c r="S20" i="5"/>
  <c r="AG20" i="5"/>
  <c r="R20" i="5"/>
  <c r="AG35" i="5"/>
  <c r="S35" i="5"/>
  <c r="R35" i="5"/>
  <c r="AG27" i="5"/>
  <c r="S27" i="5"/>
  <c r="R14" i="5"/>
  <c r="S14" i="5"/>
  <c r="AG14" i="5"/>
  <c r="S56" i="5"/>
  <c r="AG189" i="5"/>
  <c r="AG197" i="5"/>
  <c r="S68" i="5"/>
  <c r="AG178" i="5"/>
  <c r="S173" i="5"/>
  <c r="AG195" i="5"/>
  <c r="S71" i="5"/>
  <c r="S18" i="5"/>
  <c r="AG176" i="5"/>
  <c r="AG175" i="5"/>
  <c r="S174" i="5"/>
  <c r="AG191" i="5"/>
  <c r="R58" i="5"/>
  <c r="AG30" i="5"/>
  <c r="S75" i="5"/>
  <c r="R31" i="5"/>
  <c r="R42" i="5"/>
  <c r="AG177" i="5"/>
  <c r="AG179" i="5"/>
  <c r="R40" i="5"/>
  <c r="S55" i="5"/>
  <c r="S159" i="5"/>
  <c r="AG188" i="5"/>
  <c r="AG196" i="5"/>
  <c r="AG78" i="5"/>
  <c r="AG64" i="5"/>
  <c r="S171" i="5"/>
  <c r="AG72" i="5"/>
  <c r="AG181" i="5"/>
  <c r="R66" i="5"/>
  <c r="S204" i="5"/>
  <c r="R154" i="5"/>
  <c r="S29" i="5"/>
  <c r="R157" i="5"/>
  <c r="S156" i="5"/>
  <c r="S67" i="5"/>
  <c r="S182" i="5"/>
  <c r="R32" i="5"/>
  <c r="R80" i="5"/>
  <c r="AG76" i="5"/>
  <c r="AG160" i="5"/>
  <c r="AG70" i="5"/>
  <c r="S79" i="5"/>
  <c r="S77" i="5"/>
  <c r="R73" i="5"/>
  <c r="S69" i="5"/>
  <c r="R194" i="5"/>
  <c r="AG43" i="5"/>
  <c r="R38" i="5"/>
  <c r="S39" i="5"/>
  <c r="AG28" i="5"/>
  <c r="R174" i="5"/>
  <c r="S30" i="5"/>
  <c r="S31" i="5"/>
  <c r="AG170" i="5"/>
  <c r="AG159" i="5"/>
  <c r="AG171" i="5"/>
  <c r="AG154" i="5"/>
  <c r="R156" i="5"/>
  <c r="R172" i="5"/>
  <c r="R76" i="5"/>
  <c r="S70" i="5"/>
  <c r="AG73" i="5"/>
  <c r="S193" i="5"/>
  <c r="AG59" i="5"/>
  <c r="R56" i="5"/>
  <c r="R189" i="5"/>
  <c r="AG19" i="5"/>
  <c r="AG68" i="5"/>
  <c r="R28" i="5"/>
  <c r="AG173" i="5"/>
  <c r="R195" i="5"/>
  <c r="AG45" i="5"/>
  <c r="AG18" i="5"/>
  <c r="AG190" i="5"/>
  <c r="S175" i="5"/>
  <c r="AG174" i="5"/>
  <c r="S180" i="5"/>
  <c r="AG58" i="5"/>
  <c r="R30" i="5"/>
  <c r="R155" i="5"/>
  <c r="AG75" i="5"/>
  <c r="AG31" i="5"/>
  <c r="R170" i="5"/>
  <c r="S177" i="5"/>
  <c r="S179" i="5"/>
  <c r="S41" i="5"/>
  <c r="R55" i="5"/>
  <c r="R159" i="5"/>
  <c r="S54" i="5"/>
  <c r="R196" i="5"/>
  <c r="S78" i="5"/>
  <c r="R64" i="5"/>
  <c r="R171" i="5"/>
  <c r="AG65" i="5"/>
  <c r="R181" i="5"/>
  <c r="R158" i="5"/>
  <c r="R204" i="5"/>
  <c r="S154" i="5"/>
  <c r="AG192" i="5"/>
  <c r="AG157" i="5"/>
  <c r="AG44" i="5"/>
  <c r="R67" i="5"/>
  <c r="R182" i="5"/>
  <c r="AG172" i="5"/>
  <c r="AG80" i="5"/>
  <c r="AG57" i="5"/>
  <c r="S160" i="5"/>
  <c r="R70" i="5"/>
  <c r="S74" i="5"/>
  <c r="R77" i="5"/>
  <c r="S73" i="5"/>
  <c r="R193" i="5"/>
  <c r="S194" i="5"/>
  <c r="S59" i="5"/>
  <c r="S38" i="5"/>
  <c r="R39" i="5"/>
  <c r="R197" i="5"/>
  <c r="S45" i="5"/>
  <c r="S190" i="5"/>
  <c r="R180" i="5"/>
  <c r="AG155" i="5"/>
  <c r="R41" i="5"/>
  <c r="R78" i="5"/>
  <c r="S181" i="5"/>
  <c r="S66" i="5"/>
  <c r="AG29" i="5"/>
  <c r="S44" i="5"/>
  <c r="S32" i="5"/>
  <c r="AG79" i="5"/>
  <c r="R69" i="5"/>
  <c r="AG39" i="5"/>
  <c r="AG56" i="5"/>
  <c r="S197" i="5"/>
  <c r="R19" i="5"/>
  <c r="R178" i="5"/>
  <c r="S28" i="5"/>
  <c r="R173" i="5"/>
  <c r="AG71" i="5"/>
  <c r="R45" i="5"/>
  <c r="R18" i="5"/>
  <c r="R190" i="5"/>
  <c r="R175" i="5"/>
  <c r="S191" i="5"/>
  <c r="AG180" i="5"/>
  <c r="S58" i="5"/>
  <c r="S155" i="5"/>
  <c r="R75" i="5"/>
  <c r="AG42" i="5"/>
  <c r="S170" i="5"/>
  <c r="R177" i="5"/>
  <c r="AG40" i="5"/>
  <c r="AG41" i="5"/>
  <c r="AG55" i="5"/>
  <c r="R188" i="5"/>
  <c r="R54" i="5"/>
  <c r="S196" i="5"/>
  <c r="S64" i="5"/>
  <c r="S72" i="5"/>
  <c r="R65" i="5"/>
  <c r="AG66" i="5"/>
  <c r="S158" i="5"/>
  <c r="AG204" i="5"/>
  <c r="R29" i="5"/>
  <c r="S192" i="5"/>
  <c r="AG156" i="5"/>
  <c r="R44" i="5"/>
  <c r="AG67" i="5"/>
  <c r="AG32" i="5"/>
  <c r="S172" i="5"/>
  <c r="S80" i="5"/>
  <c r="S76" i="5"/>
  <c r="R57" i="5"/>
  <c r="R160" i="5"/>
  <c r="R79" i="5"/>
  <c r="R74" i="5"/>
  <c r="AG77" i="5"/>
  <c r="AG69" i="5"/>
  <c r="AG193" i="5"/>
  <c r="AG194" i="5"/>
  <c r="R59" i="5"/>
  <c r="AG38" i="5"/>
  <c r="S189" i="5"/>
  <c r="S19" i="5"/>
  <c r="S178" i="5"/>
  <c r="S195" i="5"/>
  <c r="R71" i="5"/>
  <c r="R176" i="5"/>
  <c r="R191" i="5"/>
  <c r="S42" i="5"/>
  <c r="R179" i="5"/>
  <c r="S40" i="5"/>
  <c r="S188" i="5"/>
  <c r="AG54" i="5"/>
  <c r="R72" i="5"/>
  <c r="AG158" i="5"/>
  <c r="R192" i="5"/>
  <c r="AG182" i="5"/>
  <c r="S57" i="5"/>
  <c r="AG74" i="5"/>
  <c r="R43" i="5"/>
  <c r="G14" i="6" l="1"/>
  <c r="F14" i="12"/>
  <c r="E14" i="12"/>
  <c r="AC14" i="5"/>
  <c r="F14" i="6"/>
  <c r="G35" i="6"/>
  <c r="F35" i="12"/>
  <c r="F20" i="12"/>
  <c r="G20" i="6"/>
  <c r="F25" i="12"/>
  <c r="G25" i="6"/>
  <c r="F23" i="6"/>
  <c r="E23" i="12"/>
  <c r="AC23" i="5"/>
  <c r="F26" i="12"/>
  <c r="AC26" i="5"/>
  <c r="G34" i="6"/>
  <c r="F34" i="12"/>
  <c r="F33" i="6"/>
  <c r="E33" i="12"/>
  <c r="AC33" i="5"/>
  <c r="E43" i="12"/>
  <c r="AC43" i="5"/>
  <c r="F43" i="6"/>
  <c r="G193" i="6"/>
  <c r="F193" i="12"/>
  <c r="AC69" i="5"/>
  <c r="F69" i="6"/>
  <c r="E69" i="12"/>
  <c r="G70" i="6"/>
  <c r="F70" i="12"/>
  <c r="F57" i="12"/>
  <c r="G57" i="6"/>
  <c r="E76" i="12"/>
  <c r="AC76" i="5"/>
  <c r="F76" i="6"/>
  <c r="AC21" i="5"/>
  <c r="F21" i="6"/>
  <c r="E21" i="12"/>
  <c r="AC172" i="5"/>
  <c r="F172" i="6"/>
  <c r="E172" i="12"/>
  <c r="F32" i="12"/>
  <c r="G32" i="6"/>
  <c r="F44" i="12"/>
  <c r="G44" i="6"/>
  <c r="AC156" i="5"/>
  <c r="F156" i="6"/>
  <c r="E156" i="12"/>
  <c r="AC192" i="5"/>
  <c r="F192" i="6"/>
  <c r="E192" i="12"/>
  <c r="F66" i="12"/>
  <c r="G66" i="6"/>
  <c r="F181" i="12"/>
  <c r="G181" i="6"/>
  <c r="F72" i="6"/>
  <c r="E72" i="12"/>
  <c r="AC72" i="5"/>
  <c r="AC16" i="5"/>
  <c r="F16" i="12"/>
  <c r="E78" i="12"/>
  <c r="F78" i="6"/>
  <c r="AC78" i="5"/>
  <c r="G188" i="6"/>
  <c r="F188" i="12"/>
  <c r="E41" i="12"/>
  <c r="AC41" i="5"/>
  <c r="F41" i="6"/>
  <c r="G40" i="6"/>
  <c r="F40" i="12"/>
  <c r="E179" i="12"/>
  <c r="AC179" i="5"/>
  <c r="F179" i="6"/>
  <c r="F42" i="12"/>
  <c r="G42" i="6"/>
  <c r="G31" i="6"/>
  <c r="F31" i="12"/>
  <c r="G24" i="6"/>
  <c r="F24" i="12"/>
  <c r="F30" i="12"/>
  <c r="G30" i="6"/>
  <c r="F180" i="6"/>
  <c r="AC180" i="5"/>
  <c r="E180" i="12"/>
  <c r="F191" i="6"/>
  <c r="AC191" i="5"/>
  <c r="E191" i="12"/>
  <c r="E174" i="12"/>
  <c r="F174" i="6"/>
  <c r="AC174" i="5"/>
  <c r="G190" i="6"/>
  <c r="F190" i="12"/>
  <c r="E176" i="12"/>
  <c r="AC176" i="5"/>
  <c r="F176" i="6"/>
  <c r="F45" i="12"/>
  <c r="G45" i="6"/>
  <c r="E71" i="12"/>
  <c r="AC71" i="5"/>
  <c r="F71" i="6"/>
  <c r="G195" i="6"/>
  <c r="F195" i="12"/>
  <c r="G178" i="6"/>
  <c r="F178" i="12"/>
  <c r="G19" i="6"/>
  <c r="F19" i="12"/>
  <c r="AC197" i="5"/>
  <c r="E197" i="12"/>
  <c r="F197" i="6"/>
  <c r="F189" i="12"/>
  <c r="G189" i="6"/>
  <c r="AC27" i="5"/>
  <c r="F27" i="12"/>
  <c r="F36" i="12"/>
  <c r="AC36" i="5"/>
  <c r="AC25" i="5"/>
  <c r="E25" i="12"/>
  <c r="F25" i="6"/>
  <c r="AC22" i="5"/>
  <c r="E22" i="12"/>
  <c r="F22" i="6"/>
  <c r="AC17" i="5"/>
  <c r="F17" i="12"/>
  <c r="E59" i="12"/>
  <c r="F59" i="6"/>
  <c r="AC59" i="5"/>
  <c r="F74" i="6"/>
  <c r="E74" i="12"/>
  <c r="AC74" i="5"/>
  <c r="F79" i="6"/>
  <c r="E79" i="12"/>
  <c r="AC79" i="5"/>
  <c r="AC160" i="5"/>
  <c r="E160" i="12"/>
  <c r="F160" i="6"/>
  <c r="F57" i="6"/>
  <c r="AC57" i="5"/>
  <c r="E57" i="12"/>
  <c r="G76" i="6"/>
  <c r="F76" i="12"/>
  <c r="G80" i="6"/>
  <c r="F80" i="12"/>
  <c r="F172" i="12"/>
  <c r="G172" i="6"/>
  <c r="AC44" i="5"/>
  <c r="E44" i="12"/>
  <c r="F44" i="6"/>
  <c r="G192" i="6"/>
  <c r="F192" i="12"/>
  <c r="AC29" i="5"/>
  <c r="F29" i="6"/>
  <c r="E29" i="12"/>
  <c r="G158" i="6"/>
  <c r="F158" i="12"/>
  <c r="F65" i="6"/>
  <c r="AC65" i="5"/>
  <c r="E65" i="12"/>
  <c r="G72" i="6"/>
  <c r="F72" i="12"/>
  <c r="G64" i="6"/>
  <c r="F64" i="12"/>
  <c r="G196" i="6"/>
  <c r="F196" i="12"/>
  <c r="AC54" i="5"/>
  <c r="E54" i="12"/>
  <c r="F54" i="6"/>
  <c r="AC188" i="5"/>
  <c r="F188" i="6"/>
  <c r="E188" i="12"/>
  <c r="F177" i="6"/>
  <c r="AC177" i="5"/>
  <c r="E177" i="12"/>
  <c r="G170" i="6"/>
  <c r="F170" i="12"/>
  <c r="AC75" i="5"/>
  <c r="F75" i="6"/>
  <c r="E75" i="12"/>
  <c r="F155" i="12"/>
  <c r="G155" i="6"/>
  <c r="G58" i="6"/>
  <c r="F58" i="12"/>
  <c r="G191" i="6"/>
  <c r="F191" i="12"/>
  <c r="AC175" i="5"/>
  <c r="F175" i="6"/>
  <c r="E175" i="12"/>
  <c r="AC190" i="5"/>
  <c r="E190" i="12"/>
  <c r="F190" i="6"/>
  <c r="E18" i="12"/>
  <c r="F18" i="6"/>
  <c r="AC18" i="5"/>
  <c r="AC45" i="5"/>
  <c r="F45" i="6"/>
  <c r="E45" i="12"/>
  <c r="E173" i="12"/>
  <c r="AC173" i="5"/>
  <c r="F173" i="6"/>
  <c r="G28" i="6"/>
  <c r="F28" i="12"/>
  <c r="F178" i="6"/>
  <c r="AC178" i="5"/>
  <c r="E178" i="12"/>
  <c r="AC19" i="5"/>
  <c r="F19" i="6"/>
  <c r="E19" i="12"/>
  <c r="F197" i="12"/>
  <c r="G197" i="6"/>
  <c r="G23" i="6"/>
  <c r="F23" i="12"/>
  <c r="F22" i="12"/>
  <c r="G22" i="6"/>
  <c r="E39" i="12"/>
  <c r="AC39" i="5"/>
  <c r="F39" i="6"/>
  <c r="G38" i="6"/>
  <c r="F38" i="12"/>
  <c r="F59" i="12"/>
  <c r="G59" i="6"/>
  <c r="F194" i="12"/>
  <c r="G194" i="6"/>
  <c r="AC193" i="5"/>
  <c r="E193" i="12"/>
  <c r="F193" i="6"/>
  <c r="F73" i="12"/>
  <c r="G73" i="6"/>
  <c r="F77" i="6"/>
  <c r="AC77" i="5"/>
  <c r="E77" i="12"/>
  <c r="G74" i="6"/>
  <c r="F74" i="12"/>
  <c r="AC70" i="5"/>
  <c r="E70" i="12"/>
  <c r="F70" i="6"/>
  <c r="G160" i="6"/>
  <c r="F160" i="12"/>
  <c r="F21" i="12"/>
  <c r="G21" i="6"/>
  <c r="AC182" i="5"/>
  <c r="F182" i="6"/>
  <c r="E182" i="12"/>
  <c r="E67" i="12"/>
  <c r="F67" i="6"/>
  <c r="AC67" i="5"/>
  <c r="G154" i="6"/>
  <c r="F154" i="12"/>
  <c r="F204" i="6"/>
  <c r="E204" i="12"/>
  <c r="AC204" i="5"/>
  <c r="E158" i="12"/>
  <c r="F158" i="6"/>
  <c r="AC158" i="5"/>
  <c r="AC181" i="5"/>
  <c r="E181" i="12"/>
  <c r="F181" i="6"/>
  <c r="F171" i="6"/>
  <c r="E171" i="12"/>
  <c r="AC171" i="5"/>
  <c r="E64" i="12"/>
  <c r="AC64" i="5"/>
  <c r="F64" i="6"/>
  <c r="G78" i="6"/>
  <c r="F78" i="12"/>
  <c r="E196" i="12"/>
  <c r="F196" i="6"/>
  <c r="AC196" i="5"/>
  <c r="G54" i="6"/>
  <c r="F54" i="12"/>
  <c r="F159" i="6"/>
  <c r="E159" i="12"/>
  <c r="AC159" i="5"/>
  <c r="AC55" i="5"/>
  <c r="F55" i="6"/>
  <c r="E55" i="12"/>
  <c r="F41" i="12"/>
  <c r="G41" i="6"/>
  <c r="F179" i="12"/>
  <c r="G179" i="6"/>
  <c r="G177" i="6"/>
  <c r="F177" i="12"/>
  <c r="F170" i="6"/>
  <c r="E170" i="12"/>
  <c r="AC170" i="5"/>
  <c r="F155" i="6"/>
  <c r="AC155" i="5"/>
  <c r="E155" i="12"/>
  <c r="AC30" i="5"/>
  <c r="F30" i="6"/>
  <c r="E30" i="12"/>
  <c r="F180" i="12"/>
  <c r="G180" i="6"/>
  <c r="G175" i="6"/>
  <c r="F175" i="12"/>
  <c r="F195" i="6"/>
  <c r="AC195" i="5"/>
  <c r="E195" i="12"/>
  <c r="AC28" i="5"/>
  <c r="E28" i="12"/>
  <c r="F28" i="6"/>
  <c r="F189" i="6"/>
  <c r="AC189" i="5"/>
  <c r="E189" i="12"/>
  <c r="F56" i="6"/>
  <c r="AC56" i="5"/>
  <c r="E56" i="12"/>
  <c r="F20" i="6"/>
  <c r="E20" i="12"/>
  <c r="AC20" i="5"/>
  <c r="AC35" i="5"/>
  <c r="F35" i="6"/>
  <c r="E35" i="12"/>
  <c r="F34" i="6"/>
  <c r="E34" i="12"/>
  <c r="AC34" i="5"/>
  <c r="G33" i="6"/>
  <c r="F33" i="12"/>
  <c r="F39" i="12"/>
  <c r="G39" i="6"/>
  <c r="E38" i="12"/>
  <c r="AC38" i="5"/>
  <c r="F38" i="6"/>
  <c r="E194" i="12"/>
  <c r="F194" i="6"/>
  <c r="AC194" i="5"/>
  <c r="G69" i="6"/>
  <c r="F69" i="12"/>
  <c r="AC73" i="5"/>
  <c r="E73" i="12"/>
  <c r="F73" i="6"/>
  <c r="G77" i="6"/>
  <c r="F77" i="12"/>
  <c r="G79" i="6"/>
  <c r="F79" i="12"/>
  <c r="F80" i="6"/>
  <c r="AC80" i="5"/>
  <c r="E80" i="12"/>
  <c r="F32" i="6"/>
  <c r="AC32" i="5"/>
  <c r="E32" i="12"/>
  <c r="F182" i="12"/>
  <c r="G182" i="6"/>
  <c r="F67" i="12"/>
  <c r="G67" i="6"/>
  <c r="F156" i="12"/>
  <c r="G156" i="6"/>
  <c r="AC157" i="5"/>
  <c r="F157" i="6"/>
  <c r="E157" i="12"/>
  <c r="G29" i="6"/>
  <c r="F29" i="12"/>
  <c r="F154" i="6"/>
  <c r="AC154" i="5"/>
  <c r="E154" i="12"/>
  <c r="G204" i="6"/>
  <c r="F204" i="12"/>
  <c r="AC66" i="5"/>
  <c r="F66" i="6"/>
  <c r="E66" i="12"/>
  <c r="G171" i="6"/>
  <c r="F171" i="12"/>
  <c r="G159" i="6"/>
  <c r="F159" i="12"/>
  <c r="F55" i="12"/>
  <c r="G55" i="6"/>
  <c r="F40" i="6"/>
  <c r="E40" i="12"/>
  <c r="AC40" i="5"/>
  <c r="E42" i="12"/>
  <c r="AC42" i="5"/>
  <c r="F42" i="6"/>
  <c r="E31" i="12"/>
  <c r="AC31" i="5"/>
  <c r="F31" i="6"/>
  <c r="G75" i="6"/>
  <c r="F75" i="12"/>
  <c r="E24" i="12"/>
  <c r="F24" i="6"/>
  <c r="AC24" i="5"/>
  <c r="F58" i="6"/>
  <c r="AC58" i="5"/>
  <c r="E58" i="12"/>
  <c r="G174" i="6"/>
  <c r="F174" i="12"/>
  <c r="F18" i="12"/>
  <c r="G18" i="6"/>
  <c r="F71" i="12"/>
  <c r="G71" i="6"/>
  <c r="G173" i="6"/>
  <c r="F173" i="12"/>
  <c r="AC68" i="5"/>
  <c r="F68" i="12"/>
  <c r="G68" i="6"/>
  <c r="G56" i="6"/>
  <c r="F56" i="12"/>
  <c r="AC11" i="5" l="1"/>
</calcChain>
</file>

<file path=xl/sharedStrings.xml><?xml version="1.0" encoding="utf-8"?>
<sst xmlns="http://schemas.openxmlformats.org/spreadsheetml/2006/main" count="2406" uniqueCount="527">
  <si>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</si>
  <si>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</si>
  <si>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</si>
  <si>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</si>
  <si>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</si>
  <si>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</si>
  <si>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</si>
  <si>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</si>
  <si>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</si>
  <si>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</si>
  <si>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</si>
  <si>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</si>
  <si>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</si>
  <si>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</si>
  <si>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</si>
  <si>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</si>
  <si>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</si>
  <si>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</si>
  <si>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</si>
  <si>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</si>
  <si>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</si>
  <si>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</si>
  <si>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</si>
  <si>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</si>
  <si>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</si>
  <si>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</si>
  <si>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</si>
  <si>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</si>
  <si>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</si>
  <si>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</si>
  <si>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</si>
  <si>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</si>
  <si>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</si>
  <si>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</si>
  <si>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</si>
  <si>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</si>
  <si>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</si>
  <si>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</si>
  <si>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</si>
  <si>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</si>
  <si>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</si>
  <si>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</si>
  <si>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</si>
  <si>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</si>
  <si>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</si>
  <si>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</si>
  <si>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</si>
  <si>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</si>
  <si>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</si>
  <si>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</si>
  <si>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</si>
  <si>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</si>
  <si>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</si>
  <si>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</si>
  <si>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</si>
  <si>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</si>
  <si>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</si>
  <si>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</si>
  <si>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</si>
  <si>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</si>
  <si>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</si>
  <si>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</si>
  <si>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</si>
  <si>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</si>
  <si>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</si>
  <si>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</si>
  <si>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</si>
  <si>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</si>
  <si>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</si>
  <si>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</si>
  <si>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</si>
  <si>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</si>
  <si>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</si>
  <si>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</si>
  <si>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</si>
  <si>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</si>
  <si>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</si>
  <si>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</si>
  <si>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</si>
  <si>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</si>
  <si>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</si>
  <si>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</si>
  <si>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</si>
  <si>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</si>
  <si>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</si>
  <si>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</si>
  <si>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</si>
  <si>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</si>
  <si>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</si>
  <si>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</si>
  <si>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</si>
  <si>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</si>
  <si>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</si>
  <si>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</si>
  <si>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</si>
  <si>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</si>
  <si>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</si>
  <si>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</si>
  <si>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</si>
  <si>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</si>
  <si>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</si>
  <si>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</si>
  <si>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</si>
  <si>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</si>
  <si>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</si>
  <si>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</si>
  <si>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</si>
  <si>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</si>
  <si>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</si>
  <si>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</si>
  <si>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</si>
  <si>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</si>
  <si>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</si>
  <si>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</si>
  <si>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</si>
  <si>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</si>
  <si>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</si>
  <si>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</si>
  <si>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</si>
  <si>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</si>
  <si>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</si>
  <si>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</si>
  <si>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</si>
  <si>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</si>
  <si>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</si>
  <si>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</si>
  <si>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</si>
  <si>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</si>
  <si>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</si>
  <si>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</si>
  <si>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</si>
  <si>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</si>
  <si>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</si>
  <si>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</si>
  <si>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</si>
  <si>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</si>
  <si>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</si>
  <si>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</si>
  <si>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</si>
  <si>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</si>
  <si>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</si>
  <si>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</si>
  <si>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</si>
  <si>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</si>
  <si>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</si>
  <si>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</si>
  <si>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</si>
  <si>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</si>
  <si>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</si>
  <si>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</si>
  <si>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</si>
  <si>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</si>
  <si>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</si>
  <si>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</si>
  <si>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</si>
  <si>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</si>
  <si>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</si>
  <si>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</si>
  <si>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</si>
  <si>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</si>
  <si>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</si>
  <si>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</si>
  <si>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</si>
  <si>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</si>
  <si>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</si>
  <si>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</si>
  <si>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</si>
  <si>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</si>
  <si>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</si>
  <si>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</si>
  <si>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</si>
  <si>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</si>
  <si>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</si>
  <si>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</si>
  <si>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</si>
  <si>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</si>
  <si>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</si>
  <si>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</si>
  <si>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</si>
  <si>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</si>
  <si>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</si>
  <si>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</si>
  <si>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</si>
  <si>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</si>
  <si>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</si>
  <si>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</si>
  <si>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</si>
  <si>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</si>
  <si>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</si>
  <si>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</si>
  <si>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</si>
  <si>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</si>
  <si>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</si>
  <si>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</si>
  <si>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</si>
  <si>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</si>
  <si>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</si>
  <si>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</si>
  <si>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</si>
  <si>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</si>
  <si>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</si>
  <si>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</si>
  <si>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</si>
  <si>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</si>
  <si>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</si>
  <si>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</si>
  <si>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</si>
  <si>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</si>
  <si>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</si>
  <si>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</si>
  <si>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</si>
  <si>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</si>
  <si>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</si>
  <si>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</si>
  <si>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</si>
  <si>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</si>
  <si>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</si>
  <si>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</si>
  <si>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</si>
  <si>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</si>
  <si>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</si>
  <si>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</si>
  <si>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</si>
  <si>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</si>
  <si>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</si>
  <si>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</si>
  <si>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</si>
  <si>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</si>
  <si>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</si>
  <si>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</si>
  <si>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</si>
  <si>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</si>
  <si>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</si>
  <si>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</si>
  <si>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</si>
  <si>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</si>
  <si>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</si>
  <si>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</si>
  <si>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</si>
  <si>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</si>
  <si>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</si>
  <si>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</si>
  <si>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</si>
  <si>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</si>
  <si>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</si>
  <si>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</si>
  <si>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</si>
  <si>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</si>
  <si>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</si>
  <si>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</si>
  <si>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</si>
  <si>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</si>
  <si>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</si>
  <si>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</si>
  <si>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</si>
  <si>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</si>
  <si>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</si>
  <si>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</si>
  <si>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</si>
  <si>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</si>
  <si>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</si>
  <si>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</si>
  <si>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</si>
  <si>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</si>
  <si>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</si>
  <si>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</si>
  <si>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</si>
  <si>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</si>
  <si>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</si>
  <si>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</si>
  <si>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</si>
  <si>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</si>
  <si>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</si>
  <si>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</si>
  <si>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</si>
  <si>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</si>
  <si>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</si>
  <si>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</si>
  <si>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</si>
  <si>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</si>
  <si>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</si>
  <si>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</si>
  <si>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</si>
  <si>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</si>
  <si>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</si>
  <si>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</si>
  <si>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</si>
  <si>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</si>
  <si>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</si>
  <si>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</si>
  <si>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</si>
  <si>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</si>
  <si>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</si>
  <si>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</si>
  <si>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</si>
  <si>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</si>
  <si>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</si>
  <si>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</si>
  <si>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</si>
  <si>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</si>
  <si>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</si>
  <si>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</si>
  <si>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</si>
  <si>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</si>
  <si>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</si>
  <si>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</si>
  <si>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</si>
  <si>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</si>
  <si>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</si>
  <si>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</si>
  <si>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</si>
  <si>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</si>
  <si>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</si>
  <si>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</si>
  <si>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</si>
  <si>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</si>
  <si>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</si>
  <si>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</si>
  <si>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</si>
  <si>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</si>
  <si>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</si>
  <si>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</si>
  <si>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</si>
  <si>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</si>
  <si>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</si>
  <si>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</si>
  <si>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</si>
  <si>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</si>
  <si>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</si>
  <si>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</si>
  <si>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</si>
  <si>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</si>
  <si>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</si>
  <si>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</si>
  <si>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</si>
  <si>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</si>
  <si>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</si>
  <si>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</si>
  <si>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</si>
  <si>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</si>
  <si>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</si>
  <si>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</si>
  <si>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</si>
  <si>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</si>
  <si>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</si>
  <si>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</si>
  <si>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</si>
  <si>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</si>
  <si>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</si>
  <si>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</si>
  <si>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</si>
  <si>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</si>
  <si>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</si>
  <si>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</si>
  <si>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</si>
  <si>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</si>
  <si>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</si>
  <si>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</si>
  <si>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</si>
  <si>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</si>
  <si>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</si>
  <si>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</si>
  <si>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</si>
  <si>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</si>
  <si>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</si>
  <si>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</si>
  <si>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</si>
  <si>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</si>
  <si>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</si>
  <si>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</si>
  <si>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</si>
  <si>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</si>
  <si>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</si>
  <si>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</si>
  <si>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</si>
  <si>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</si>
  <si>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</si>
  <si>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</si>
  <si>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</si>
  <si>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</si>
  <si>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</si>
  <si>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</si>
  <si>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</si>
  <si>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</si>
  <si>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</si>
  <si>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</si>
  <si>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</si>
  <si>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</si>
  <si>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</si>
  <si>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</si>
  <si>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</si>
  <si>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</si>
  <si>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</si>
  <si>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</si>
  <si>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</si>
  <si>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</si>
  <si>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</si>
  <si>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</si>
  <si>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</si>
  <si>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</si>
  <si>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</si>
  <si>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</si>
  <si>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</si>
  <si>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</si>
  <si>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</si>
  <si>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</si>
  <si>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</si>
  <si>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</si>
  <si>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</si>
  <si>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</si>
  <si>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</si>
  <si>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</si>
  <si>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</si>
  <si>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</si>
  <si>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</si>
  <si>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</si>
  <si>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</si>
  <si>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</si>
  <si>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</si>
  <si>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</si>
  <si>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</si>
  <si>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</si>
  <si>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</si>
  <si>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</si>
  <si>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</si>
  <si>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</si>
  <si>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</si>
  <si>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</si>
  <si>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</si>
  <si>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</si>
  <si>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</si>
  <si>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</si>
  <si>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</si>
  <si>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</si>
  <si>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</si>
  <si>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</si>
  <si>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</si>
  <si>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</si>
  <si>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</si>
  <si>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</si>
  <si>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</si>
  <si>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</si>
  <si>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</si>
  <si>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74209/1</t>
  </si>
  <si>
    <t>99059</t>
  </si>
  <si>
    <t>97622</t>
  </si>
  <si>
    <t>72178</t>
  </si>
  <si>
    <t>97628</t>
  </si>
  <si>
    <t>97644</t>
  </si>
  <si>
    <t>97658</t>
  </si>
  <si>
    <t>87690</t>
  </si>
  <si>
    <t>40780</t>
  </si>
  <si>
    <t>87248</t>
  </si>
  <si>
    <t>92582</t>
  </si>
  <si>
    <t>SINAPI-I</t>
  </si>
  <si>
    <t>11587</t>
  </si>
  <si>
    <t>94210</t>
  </si>
  <si>
    <t>011</t>
  </si>
  <si>
    <t>Cotação</t>
  </si>
  <si>
    <t>M2</t>
  </si>
  <si>
    <t>72144</t>
  </si>
  <si>
    <t>4948</t>
  </si>
  <si>
    <t>001</t>
  </si>
  <si>
    <t>36884</t>
  </si>
  <si>
    <t>34797</t>
  </si>
  <si>
    <t>91338</t>
  </si>
  <si>
    <t>40872</t>
  </si>
  <si>
    <t>40869</t>
  </si>
  <si>
    <t>86888</t>
  </si>
  <si>
    <t>1368</t>
  </si>
  <si>
    <t>86941</t>
  </si>
  <si>
    <t>89709</t>
  </si>
  <si>
    <t>11758</t>
  </si>
  <si>
    <t>37329</t>
  </si>
  <si>
    <t>88648</t>
  </si>
  <si>
    <t>007</t>
  </si>
  <si>
    <t>012</t>
  </si>
  <si>
    <t>UNIDADE</t>
  </si>
  <si>
    <t>93358</t>
  </si>
  <si>
    <t>013</t>
  </si>
  <si>
    <t>72181</t>
  </si>
  <si>
    <t>97663</t>
  </si>
  <si>
    <t>014</t>
  </si>
  <si>
    <t>87905</t>
  </si>
  <si>
    <t>87777</t>
  </si>
  <si>
    <t>87266</t>
  </si>
  <si>
    <t>87548</t>
  </si>
  <si>
    <t>38773</t>
  </si>
  <si>
    <t>93138</t>
  </si>
  <si>
    <t>93143</t>
  </si>
  <si>
    <t>38781</t>
  </si>
  <si>
    <t>89957</t>
  </si>
  <si>
    <t>004</t>
  </si>
  <si>
    <t>38091</t>
  </si>
  <si>
    <t>94964</t>
  </si>
  <si>
    <t>92761</t>
  </si>
  <si>
    <t>92768</t>
  </si>
  <si>
    <t>98229</t>
  </si>
  <si>
    <t>1358</t>
  </si>
  <si>
    <t>97645</t>
  </si>
  <si>
    <t>74166/1</t>
  </si>
  <si>
    <t>015</t>
  </si>
  <si>
    <t>CHAPISCO APLICADO EM ALVENARIA , COM COLHER DE PEDREIRO, PREPARO EM BETORNEIRA</t>
  </si>
  <si>
    <t>89356</t>
  </si>
  <si>
    <t>89714</t>
  </si>
  <si>
    <t>89449</t>
  </si>
  <si>
    <t>89712</t>
  </si>
  <si>
    <t>JOÃO YASUJI SAKAI</t>
  </si>
  <si>
    <t>21735/D</t>
  </si>
  <si>
    <t>GERMANO BONAMIGO</t>
  </si>
  <si>
    <t xml:space="preserve">PREFEITO </t>
  </si>
  <si>
    <t>CÉU AZUL-PR</t>
  </si>
  <si>
    <t>MUNICIPIO DE CÉU AZUL</t>
  </si>
  <si>
    <t>lotes 04 e 05 quadra 13 , bairro são cristovao</t>
  </si>
  <si>
    <t>87495</t>
  </si>
  <si>
    <t>010</t>
  </si>
  <si>
    <t>88428</t>
  </si>
  <si>
    <t>009</t>
  </si>
  <si>
    <t>008</t>
  </si>
  <si>
    <t>Ampliação e adequação do  cemei Raio de Sol</t>
  </si>
  <si>
    <t>91863</t>
  </si>
  <si>
    <t>944</t>
  </si>
  <si>
    <t>939</t>
  </si>
  <si>
    <t>940</t>
  </si>
  <si>
    <t>95546</t>
  </si>
  <si>
    <t>95544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</si>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</sst>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04-2019.xls.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6" activePane="bottomLeft" state="frozen"/>
      <selection pane="bottomLeft" activeCell="F16" sqref="F16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512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511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519</v>
      </c>
      <c r="J16" s="15" t="s">
        <v>21</v>
      </c>
    </row>
    <row r="17" spans="5:10" x14ac:dyDescent="0.2">
      <c r="E17" s="25" t="s">
        <v>103</v>
      </c>
      <c r="F17" s="34" t="s">
        <v>513</v>
      </c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43556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507</v>
      </c>
    </row>
    <row r="23" spans="5:10" x14ac:dyDescent="0.2">
      <c r="E23" s="25" t="s">
        <v>108</v>
      </c>
      <c r="F23" s="26" t="s">
        <v>508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43788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509</v>
      </c>
    </row>
    <row r="29" spans="5:10" x14ac:dyDescent="0.2">
      <c r="E29" s="29" t="s">
        <v>112</v>
      </c>
      <c r="F29" s="44" t="s">
        <v>510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43790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J22" sqref="J22:Q22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440</v>
      </c>
      <c r="K4" s="683"/>
      <c r="L4" s="683" t="s">
        <v>441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MUNICIPIO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>Ampliação e adequação do  cemei Raio de Sol / lotes 04 e 05 quadra 13 , bairro são cristovao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1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408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0.03</v>
      </c>
      <c r="U21" s="672" t="s">
        <v>165</v>
      </c>
      <c r="V21" s="672"/>
      <c r="W21" s="672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8.0000000000000002E-3</v>
      </c>
      <c r="U22" s="672" t="s">
        <v>165</v>
      </c>
      <c r="V22" s="672"/>
      <c r="W22" s="672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9.7000000000000003E-3</v>
      </c>
      <c r="U23" s="672" t="s">
        <v>165</v>
      </c>
      <c r="V23" s="672"/>
      <c r="W23" s="672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5.8999999999999999E-3</v>
      </c>
      <c r="U24" s="672" t="s">
        <v>165</v>
      </c>
      <c r="V24" s="672"/>
      <c r="W24" s="672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6.1600000000000002E-2</v>
      </c>
      <c r="U25" s="672" t="s">
        <v>165</v>
      </c>
      <c r="V25" s="672"/>
      <c r="W25" s="672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3.6499999999999998E-2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0.04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0.21149999999999999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0.27350000000000002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5" t="e">
        <f ca="1">IF(U29&lt;&gt;"ok","Anexo: Relatório Técnico Circunstanciado justificando a adoção do percentual de cada parcela do BDI.","")</f>
        <v>#N/A</v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CÉU AZUL-PR</v>
      </c>
      <c r="K45" s="666"/>
      <c r="L45" s="666"/>
      <c r="M45" s="666"/>
      <c r="P45" s="667">
        <f>DADOS!$F$25</f>
        <v>43788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408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CÉU AZUL-PR</v>
      </c>
      <c r="K85" s="666"/>
      <c r="L85" s="666"/>
      <c r="M85" s="666"/>
      <c r="P85" s="667">
        <f>DADOS!$F$25</f>
        <v>43788</v>
      </c>
      <c r="Q85" s="667"/>
      <c r="R85" s="667"/>
      <c r="S85" s="66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408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CÉU AZUL-PR</v>
      </c>
      <c r="K125" s="666"/>
      <c r="L125" s="666"/>
      <c r="M125" s="666"/>
      <c r="P125" s="667">
        <f>DADOS!$F$25</f>
        <v>43788</v>
      </c>
      <c r="Q125" s="667"/>
      <c r="R125" s="667"/>
      <c r="S125" s="66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zoomScale="90" zoomScaleNormal="90" zoomScaleSheetLayoutView="90" workbookViewId="0">
      <pane xSplit="19" ySplit="15" topLeftCell="X16" activePane="bottomRight" state="frozen"/>
      <selection activeCell="L1" sqref="L1"/>
      <selection pane="topRight" activeCell="T1" sqref="T1"/>
      <selection pane="bottomLeft" activeCell="L16" sqref="L16"/>
      <selection pane="bottomRight" activeCell="R30" sqref="R30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440</v>
      </c>
      <c r="P4" s="683"/>
      <c r="Q4" s="112" t="s">
        <v>441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0.27350000000000002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MUNICIPIO DE CÉU AZUL</v>
      </c>
      <c r="S5" s="686" t="str">
        <f>Import.Apelido</f>
        <v>Ampliação e adequação do  cemei Raio de Sol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04-2019.xls]Banco'!$a5:$a$65536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CURITIBA</v>
      </c>
      <c r="P8" s="686"/>
      <c r="Q8" s="129" t="str">
        <f ca="1">TEXT(Import.DataBase,"mm-aa")&amp;IF(DESONERACAO="Sim"," (DES.)"," (N DES.)")</f>
        <v>04-19 (DES.)</v>
      </c>
      <c r="R8" s="119" t="str">
        <f>IF(TIPOORCAMENTO="Licitado",Import.empresa,Import.DescLote)</f>
        <v>lotes 04 e 05 quadra 13 , bairro são cristovao</v>
      </c>
      <c r="S8" s="699" t="str">
        <f>IF(TIPOORCAMENTO="Licitado",Import.RegimeExecução,Import.Município)</f>
        <v>CÉU AZUL-PR</v>
      </c>
      <c r="T8" s="699"/>
      <c r="U8" s="699"/>
      <c r="V8" s="130" t="str">
        <f ca="1">IF(TIPOORCAMENTO="Licitado","",TEXT(F5,"0,00%"))</f>
        <v>27,35%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04-2019.xls]Banco'!$d$3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NÃO 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0.27350000000000002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 t="str">
        <f>Import.DescLote</f>
        <v>lotes 04 e 05 quadra 13 , bairro são cristovao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183222.3900000001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183222.3900000001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183222.3900000001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10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10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IF($C16="S",REFERENCIA.Descricao,"serviços iniciais")</f>
        <v>serviços iniciais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2862.23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2862.23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53"/>
      <c r="AL16" s="574"/>
      <c r="AM16" s="431">
        <f t="shared" ca="1" si="0"/>
        <v>2862.23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9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9</v>
      </c>
      <c r="K17" t="e">
        <f ca="1">IF(OR($C17="S",$C17=0),0,MATCH(OFFSET($D17,0,$C17)+IF($C17&lt;&gt;1,1,COUNTIF(QCI!$A$13:$A$24,ORÇAMENTO!E17)),OFFSET($D17,1,$C17,ROW($C$266)-ROW($C17)),0))</f>
        <v>#N/A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IF($C17="S",REFERENCIA.Descricao,"(digite a descrição aqui)")</f>
        <v>(digite a descrição aqui)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2862.23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2862.23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0.27350000000000002</v>
      </c>
      <c r="AJ17" s="553"/>
      <c r="AL17" s="574"/>
      <c r="AM17" s="431">
        <f t="shared" ca="1" si="0"/>
        <v>2862.23</v>
      </c>
      <c r="AN17" s="617">
        <f t="shared" ca="1" si="23"/>
        <v>0</v>
      </c>
    </row>
    <row r="18" spans="1:40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246</v>
      </c>
      <c r="Q18" s="149" t="s">
        <v>443</v>
      </c>
      <c r="R18" s="150" t="str">
        <f t="shared" ref="R18:R79" ca="1" si="24">IF($C18="S",REFERENCIA.Descricao,"(digite a descrição aqui)")</f>
        <v>PLACA DE OBRA EM CHAPA DE ACO GALVANIZADO</v>
      </c>
      <c r="S18" s="151" t="str">
        <f t="shared" ca="1" si="13"/>
        <v>M2</v>
      </c>
      <c r="T18" s="152">
        <f ca="1">OFFSET(CÁLCULO!H$15,ROW($T18)-ROW(T$15),0)</f>
        <v>2.88</v>
      </c>
      <c r="U18" s="153">
        <v>329.4</v>
      </c>
      <c r="V18" s="154" t="s">
        <v>155</v>
      </c>
      <c r="W18" s="152">
        <f t="shared" ca="1" si="14"/>
        <v>419.49</v>
      </c>
      <c r="X18" s="155">
        <f t="shared" ca="1" si="15"/>
        <v>1208.1300000000001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1208.1300000000001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 74209/1</v>
      </c>
      <c r="AF18" s="160">
        <f t="shared" ca="1" si="20"/>
        <v>318</v>
      </c>
      <c r="AG18" s="550">
        <f t="shared" ca="1" si="21"/>
        <v>329.4</v>
      </c>
      <c r="AH18" s="551">
        <f t="shared" ca="1" si="22"/>
        <v>0.27350000000000002</v>
      </c>
      <c r="AJ18" s="553">
        <v>2.88</v>
      </c>
      <c r="AL18" s="574"/>
      <c r="AM18" s="431">
        <f t="shared" ca="1" si="0"/>
        <v>1208.1300000000001</v>
      </c>
      <c r="AN18" s="617">
        <f t="shared" ca="1" si="23"/>
        <v>419.49</v>
      </c>
    </row>
    <row r="19" spans="1:40" ht="38.2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444</v>
      </c>
      <c r="R19" s="150" t="str">
        <f t="shared" ca="1" si="24"/>
        <v>LOCACAO CONVENCIONAL DE OBRA, UTILIZANDO GABARITO DE TÁBUAS CORRIDAS PONTALETADAS A CADA 2,00M -  2 UTILIZAÇÕES. AF_10/2018</v>
      </c>
      <c r="S19" s="151" t="str">
        <f t="shared" ca="1" si="13"/>
        <v>M</v>
      </c>
      <c r="T19" s="152">
        <f ca="1">OFFSET(CÁLCULO!H$15,ROW($T19)-ROW(T$15),0)</f>
        <v>35</v>
      </c>
      <c r="U19" s="153">
        <v>37.11</v>
      </c>
      <c r="V19" s="154" t="s">
        <v>155</v>
      </c>
      <c r="W19" s="152">
        <f t="shared" ca="1" si="14"/>
        <v>47.26</v>
      </c>
      <c r="X19" s="155">
        <f t="shared" ca="1" si="15"/>
        <v>1654.1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1654.1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99059</v>
      </c>
      <c r="AF19" s="160">
        <f t="shared" ca="1" si="20"/>
        <v>6141</v>
      </c>
      <c r="AG19" s="550">
        <f t="shared" ca="1" si="21"/>
        <v>37.11</v>
      </c>
      <c r="AH19" s="551">
        <f t="shared" ca="1" si="22"/>
        <v>0.27350000000000002</v>
      </c>
      <c r="AJ19" s="553">
        <v>35</v>
      </c>
      <c r="AL19" s="574"/>
      <c r="AM19" s="431">
        <f t="shared" ca="1" si="0"/>
        <v>1654.1</v>
      </c>
      <c r="AN19" s="617">
        <f t="shared" ca="1" si="23"/>
        <v>47.26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(Sem Código)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0.27350000000000002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2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(Sem Código)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0.27350000000000002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hidden="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2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/>
      </c>
      <c r="M22" s="145" t="s">
        <v>198</v>
      </c>
      <c r="N22" s="146" t="str">
        <f t="shared" ca="1" si="11"/>
        <v>Serviço</v>
      </c>
      <c r="O22" s="147" t="str">
        <f t="shared" ca="1" si="12"/>
        <v>-</v>
      </c>
      <c r="P22" s="148" t="s">
        <v>246</v>
      </c>
      <c r="Q22" s="149"/>
      <c r="R22" s="150" t="str">
        <f ca="1">IF($C22="S",REFERENCIA.Descricao,"(digite a descrição aqui)")</f>
        <v>(Sem Código)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0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0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0.27350000000000002</v>
      </c>
      <c r="AJ22" s="553"/>
      <c r="AL22" s="574"/>
      <c r="AM22" s="431">
        <f t="shared" ca="1" si="0"/>
        <v>0</v>
      </c>
      <c r="AN22" s="617">
        <f t="shared" ca="1" si="23"/>
        <v>0</v>
      </c>
    </row>
    <row r="23" spans="1:40" hidden="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/>
      </c>
      <c r="M23" s="145" t="s">
        <v>198</v>
      </c>
      <c r="N23" s="146" t="str">
        <f t="shared" ca="1" si="11"/>
        <v>Serviço</v>
      </c>
      <c r="O23" s="147" t="str">
        <f t="shared" ca="1" si="12"/>
        <v>-</v>
      </c>
      <c r="P23" s="148" t="s">
        <v>246</v>
      </c>
      <c r="Q23" s="149"/>
      <c r="R23" s="150" t="str">
        <f t="shared" ca="1" si="24"/>
        <v>(Sem Código)</v>
      </c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0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0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b">
        <f t="shared" ca="1" si="19"/>
        <v>0</v>
      </c>
      <c r="AF23" s="160" t="str">
        <f t="shared" ca="1" si="20"/>
        <v>(Sem Código)</v>
      </c>
      <c r="AG23" s="550">
        <f t="shared" ca="1" si="21"/>
        <v>0</v>
      </c>
      <c r="AH23" s="551">
        <f t="shared" ca="1" si="22"/>
        <v>0.27350000000000002</v>
      </c>
      <c r="AJ23" s="553"/>
      <c r="AL23" s="574"/>
      <c r="AM23" s="431">
        <f t="shared" ca="1" si="0"/>
        <v>0</v>
      </c>
      <c r="AN23" s="617">
        <f t="shared" ca="1" si="23"/>
        <v>0</v>
      </c>
    </row>
    <row r="24" spans="1:40" hidden="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/>
      </c>
      <c r="M24" s="145" t="s">
        <v>198</v>
      </c>
      <c r="N24" s="146" t="str">
        <f t="shared" ca="1" si="11"/>
        <v>Serviço</v>
      </c>
      <c r="O24" s="147" t="str">
        <f t="shared" ca="1" si="12"/>
        <v>-</v>
      </c>
      <c r="P24" s="148" t="s">
        <v>246</v>
      </c>
      <c r="Q24" s="149"/>
      <c r="R24" s="150" t="str">
        <f t="shared" ca="1" si="24"/>
        <v>(Sem Código)</v>
      </c>
      <c r="S24" s="151" t="str">
        <f t="shared" ca="1" si="13"/>
        <v>-</v>
      </c>
      <c r="T24" s="152">
        <f ca="1">OFFSET(CÁLCULO!H$15,ROW($T24)-ROW(T$15),0)</f>
        <v>0</v>
      </c>
      <c r="U24" s="153"/>
      <c r="V24" s="154" t="s">
        <v>155</v>
      </c>
      <c r="W24" s="152">
        <f t="shared" ca="1" si="14"/>
        <v>0</v>
      </c>
      <c r="X24" s="155">
        <f t="shared" ca="1" si="15"/>
        <v>0</v>
      </c>
      <c r="Y24" s="156" t="s">
        <v>244</v>
      </c>
      <c r="Z24" t="str">
        <f t="shared" ca="1" si="16"/>
        <v/>
      </c>
      <c r="AA24" s="157">
        <f ca="1">IF($C24="S",IF($Z24="CP",$X24,IF($Z24="RA",(($X24)*QCI!$AA$3),0)),SomaAgrup)</f>
        <v>0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b">
        <f t="shared" ca="1" si="19"/>
        <v>0</v>
      </c>
      <c r="AF24" s="160" t="str">
        <f t="shared" ca="1" si="20"/>
        <v>(Sem Código)</v>
      </c>
      <c r="AG24" s="550">
        <f t="shared" ca="1" si="21"/>
        <v>0</v>
      </c>
      <c r="AH24" s="551">
        <f t="shared" ca="1" si="22"/>
        <v>0.27350000000000002</v>
      </c>
      <c r="AJ24" s="553"/>
      <c r="AL24" s="574"/>
      <c r="AM24" s="431">
        <f t="shared" ca="1" si="0"/>
        <v>0</v>
      </c>
      <c r="AN24" s="617">
        <f t="shared" ca="1" si="23"/>
        <v>0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/>
      </c>
      <c r="M25" s="145" t="s">
        <v>198</v>
      </c>
      <c r="N25" s="146" t="str">
        <f t="shared" ca="1" si="11"/>
        <v>Serviço</v>
      </c>
      <c r="O25" s="147" t="str">
        <f t="shared" ca="1" si="12"/>
        <v>-</v>
      </c>
      <c r="P25" s="148" t="s">
        <v>246</v>
      </c>
      <c r="Q25" s="149"/>
      <c r="R25" s="150" t="str">
        <f t="shared" ca="1" si="24"/>
        <v>(Sem Código)</v>
      </c>
      <c r="S25" s="151" t="str">
        <f t="shared" ca="1" si="13"/>
        <v>-</v>
      </c>
      <c r="T25" s="152">
        <f ca="1">OFFSET(CÁLCULO!H$15,ROW($T25)-ROW(T$15),0)</f>
        <v>0</v>
      </c>
      <c r="U25" s="153"/>
      <c r="V25" s="154" t="s">
        <v>155</v>
      </c>
      <c r="W25" s="152">
        <f t="shared" ca="1" si="14"/>
        <v>0</v>
      </c>
      <c r="X25" s="155">
        <f t="shared" ca="1" si="15"/>
        <v>0</v>
      </c>
      <c r="Y25" s="156" t="s">
        <v>244</v>
      </c>
      <c r="Z25" t="str">
        <f t="shared" ca="1" si="16"/>
        <v/>
      </c>
      <c r="AA25" s="157">
        <f ca="1">IF($C25="S",IF($Z25="CP",$X25,IF($Z25="RA",(($X25)*QCI!$AA$3),0)),SomaAgrup)</f>
        <v>0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b">
        <f t="shared" ca="1" si="19"/>
        <v>0</v>
      </c>
      <c r="AF25" s="160" t="str">
        <f t="shared" ca="1" si="20"/>
        <v>(Sem Código)</v>
      </c>
      <c r="AG25" s="550">
        <f t="shared" ca="1" si="21"/>
        <v>0</v>
      </c>
      <c r="AH25" s="551">
        <f t="shared" ca="1" si="22"/>
        <v>0.27350000000000002</v>
      </c>
      <c r="AJ25" s="553"/>
      <c r="AL25" s="574"/>
      <c r="AM25" s="431">
        <f t="shared" ca="1" si="0"/>
        <v>0</v>
      </c>
      <c r="AN25" s="617">
        <f t="shared" ca="1" si="23"/>
        <v>0</v>
      </c>
    </row>
    <row r="26" spans="1:40" x14ac:dyDescent="0.2">
      <c r="A26">
        <f t="shared" si="1"/>
        <v>1</v>
      </c>
      <c r="B26">
        <f t="shared" ca="1" si="2"/>
        <v>1</v>
      </c>
      <c r="C26">
        <f t="shared" ca="1" si="3"/>
        <v>1</v>
      </c>
      <c r="D26">
        <f t="shared" ca="1" si="4"/>
        <v>10</v>
      </c>
      <c r="E26">
        <f ca="1">IF($C26=1,OFFSET(E26,-1,0)+MAX(1,COUNTIF(QCI!$A$13:$A$24,OFFSET(ORÇAMENTO!E26,-1,0))),OFFSET(E26,-1,0))</f>
        <v>2</v>
      </c>
      <c r="F26">
        <f t="shared" ca="1" si="5"/>
        <v>0</v>
      </c>
      <c r="G26">
        <f t="shared" ca="1" si="6"/>
        <v>0</v>
      </c>
      <c r="H26">
        <f t="shared" ca="1" si="7"/>
        <v>0</v>
      </c>
      <c r="I26">
        <f t="shared" ca="1" si="8"/>
        <v>0</v>
      </c>
      <c r="J26">
        <f t="shared" ca="1" si="9"/>
        <v>240</v>
      </c>
      <c r="K26">
        <f ca="1">IF(OR($C26="S",$C26=0),0,MATCH(OFFSET($D26,0,$C26)+IF($C26&lt;&gt;1,1,COUNTIF(QCI!$A$13:$A$24,ORÇAMENTO!E26)),OFFSET($D26,1,$C26,ROW($C$266)-ROW($C26)),0))</f>
        <v>10</v>
      </c>
      <c r="L26" s="144" t="str">
        <f t="shared" ca="1" si="10"/>
        <v>F</v>
      </c>
      <c r="M26" s="145" t="s">
        <v>194</v>
      </c>
      <c r="N26" s="146" t="str">
        <f t="shared" ca="1" si="11"/>
        <v>Meta</v>
      </c>
      <c r="O26" s="147" t="str">
        <f t="shared" ca="1" si="12"/>
        <v>2.</v>
      </c>
      <c r="P26" s="148" t="s">
        <v>246</v>
      </c>
      <c r="Q26" s="149"/>
      <c r="R26" s="150" t="str">
        <f ca="1">IF($C26="S",REFERENCIA.Descricao,"piso")</f>
        <v>piso</v>
      </c>
      <c r="S26" s="151" t="str">
        <f t="shared" ca="1" si="13"/>
        <v>-</v>
      </c>
      <c r="T26" s="152">
        <f ca="1">OFFSET(CÁLCULO!H$15,ROW($T26)-ROW(T$15),0)</f>
        <v>0</v>
      </c>
      <c r="U26" s="153"/>
      <c r="V26" s="154" t="s">
        <v>155</v>
      </c>
      <c r="W26" s="152">
        <f t="shared" ca="1" si="14"/>
        <v>0</v>
      </c>
      <c r="X26" s="155">
        <f t="shared" ca="1" si="15"/>
        <v>17228.599999999999</v>
      </c>
      <c r="Y26" s="156" t="s">
        <v>244</v>
      </c>
      <c r="Z26" t="str">
        <f t="shared" ca="1" si="16"/>
        <v/>
      </c>
      <c r="AA26" s="157">
        <f ca="1">IF($C26="S",IF($Z26="CP",$X26,IF($Z26="RA",(($X26)*QCI!$AA$3),0)),SomaAgrup)</f>
        <v>17228.599999999999</v>
      </c>
      <c r="AB26" s="158">
        <f t="shared" ca="1" si="17"/>
        <v>0</v>
      </c>
      <c r="AC26" s="159" t="str">
        <f t="shared" ca="1" si="18"/>
        <v/>
      </c>
      <c r="AD26" s="105">
        <f ca="1">IF(C26&lt;=CRONO.NivelExibicao,MAX($AD$15:OFFSET(AD26,-1,0))+IF($C26&lt;&gt;1,1,MAX(1,COUNTIF(QCI!$A$13:$A$24,OFFSET($E26,-1,0)))),"")</f>
        <v>3</v>
      </c>
      <c r="AE26" s="115" t="b">
        <f t="shared" ca="1" si="19"/>
        <v>0</v>
      </c>
      <c r="AF26" s="160" t="str">
        <f t="shared" ca="1" si="20"/>
        <v>(Sem Código)</v>
      </c>
      <c r="AG26" s="550">
        <f t="shared" ca="1" si="21"/>
        <v>0</v>
      </c>
      <c r="AH26" s="551">
        <f t="shared" ca="1" si="22"/>
        <v>0.27350000000000002</v>
      </c>
      <c r="AJ26" s="553"/>
      <c r="AL26" s="574"/>
      <c r="AM26" s="431">
        <f t="shared" ca="1" si="0"/>
        <v>17228.599999999999</v>
      </c>
      <c r="AN26" s="617">
        <f t="shared" ca="1" si="23"/>
        <v>0</v>
      </c>
    </row>
    <row r="27" spans="1:40" x14ac:dyDescent="0.2">
      <c r="A27" t="str">
        <f t="shared" si="1"/>
        <v>S</v>
      </c>
      <c r="B27">
        <f t="shared" ca="1" si="2"/>
        <v>2</v>
      </c>
      <c r="C27">
        <f t="shared" ca="1" si="3"/>
        <v>2</v>
      </c>
      <c r="D27">
        <f t="shared" ca="1" si="4"/>
        <v>9</v>
      </c>
      <c r="E27">
        <f ca="1">IF($C27=1,OFFSET(E27,-1,0)+MAX(1,COUNTIF(QCI!$A$13:$A$24,OFFSET(ORÇAMENTO!E27,-1,0))),OFFSET(E27,-1,0))</f>
        <v>2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0</v>
      </c>
      <c r="J27">
        <f t="shared" ca="1" si="9"/>
        <v>9</v>
      </c>
      <c r="K27" t="e">
        <f ca="1">IF(OR($C27="S",$C27=0),0,MATCH(OFFSET($D27,0,$C27)+IF($C27&lt;&gt;1,1,COUNTIF(QCI!$A$13:$A$24,ORÇAMENTO!E27)),OFFSET($D27,1,$C27,ROW($C$266)-ROW($C27)),0))</f>
        <v>#N/A</v>
      </c>
      <c r="L27" s="144" t="str">
        <f t="shared" ca="1" si="10"/>
        <v>F</v>
      </c>
      <c r="M27" s="145" t="s">
        <v>198</v>
      </c>
      <c r="N27" s="146" t="str">
        <f t="shared" ca="1" si="11"/>
        <v>Nível 2</v>
      </c>
      <c r="O27" s="147" t="str">
        <f t="shared" ca="1" si="12"/>
        <v>2.1.</v>
      </c>
      <c r="P27" s="148" t="s">
        <v>246</v>
      </c>
      <c r="Q27" s="149"/>
      <c r="R27" s="150" t="str">
        <f t="shared" ca="1" si="24"/>
        <v>(digite a descrição aqui)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17228.599999999999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17228.599999999999</v>
      </c>
      <c r="AB27" s="158">
        <f t="shared" ca="1" si="17"/>
        <v>0</v>
      </c>
      <c r="AC27" s="159" t="str">
        <f t="shared" ca="1" si="18"/>
        <v/>
      </c>
      <c r="AD27" s="105">
        <f ca="1">IF(C27&lt;=CRONO.NivelExibicao,MAX($AD$15:OFFSET(AD27,-1,0))+IF($C27&lt;&gt;1,1,MAX(1,COUNTIF(QCI!$A$13:$A$24,OFFSET($E27,-1,0)))),"")</f>
        <v>4</v>
      </c>
      <c r="AE27" s="115" t="b">
        <f t="shared" ca="1" si="19"/>
        <v>0</v>
      </c>
      <c r="AF27" s="160" t="str">
        <f t="shared" ca="1" si="20"/>
        <v>(Sem Código)</v>
      </c>
      <c r="AG27" s="550">
        <f t="shared" ca="1" si="21"/>
        <v>0</v>
      </c>
      <c r="AH27" s="551">
        <f t="shared" ca="1" si="22"/>
        <v>0.27350000000000002</v>
      </c>
      <c r="AJ27" s="553"/>
      <c r="AL27" s="574"/>
      <c r="AM27" s="431">
        <f t="shared" ca="1" si="0"/>
        <v>17228.599999999999</v>
      </c>
      <c r="AN27" s="617">
        <f t="shared" ca="1" si="23"/>
        <v>0</v>
      </c>
    </row>
    <row r="28" spans="1:40" ht="38.2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2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1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2.1.1.</v>
      </c>
      <c r="P28" s="148" t="s">
        <v>246</v>
      </c>
      <c r="Q28" s="149" t="s">
        <v>450</v>
      </c>
      <c r="R28" s="150" t="str">
        <f t="shared" ca="1" si="24"/>
        <v>CONTRAPISO EM ARGAMASSA TRAÇO 1:4 (CIMENTO E AREIA), PREPARO MECÂNICO COM BETONEIRA 400 L, APLICADO EM ÁREAS SECAS SOBRE LAJE, NÃO ADERIDO, ESPESSURA 5CM. AF_06/2014</v>
      </c>
      <c r="S28" s="151" t="str">
        <f t="shared" ca="1" si="13"/>
        <v>M2</v>
      </c>
      <c r="T28" s="152">
        <f ca="1">OFFSET(CÁLCULO!H$15,ROW($T28)-ROW(T$15),0)</f>
        <v>270</v>
      </c>
      <c r="U28" s="153">
        <v>32.86</v>
      </c>
      <c r="V28" s="154" t="s">
        <v>155</v>
      </c>
      <c r="W28" s="152">
        <f t="shared" ca="1" si="14"/>
        <v>41.85</v>
      </c>
      <c r="X28" s="155">
        <f t="shared" ca="1" si="15"/>
        <v>11299.5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11299.5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SINAPI 87690</v>
      </c>
      <c r="AF28" s="160">
        <f t="shared" ca="1" si="20"/>
        <v>5447</v>
      </c>
      <c r="AG28" s="550">
        <f t="shared" ca="1" si="21"/>
        <v>32.86</v>
      </c>
      <c r="AH28" s="551">
        <f t="shared" ca="1" si="22"/>
        <v>0.27350000000000002</v>
      </c>
      <c r="AJ28" s="553">
        <v>270</v>
      </c>
      <c r="AL28" s="574"/>
      <c r="AM28" s="431">
        <f t="shared" ca="1" si="0"/>
        <v>11299.5</v>
      </c>
      <c r="AN28" s="617">
        <f t="shared" ca="1" si="23"/>
        <v>41.85</v>
      </c>
    </row>
    <row r="29" spans="1:40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2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2.1.2.</v>
      </c>
      <c r="P29" s="148" t="s">
        <v>246</v>
      </c>
      <c r="Q29" s="149" t="s">
        <v>451</v>
      </c>
      <c r="R29" s="150" t="str">
        <f t="shared" ca="1" si="24"/>
        <v>REGULARIZAÇÃO DE SUPERFICIE DE CONCRETO APARENTE</v>
      </c>
      <c r="S29" s="151" t="str">
        <f t="shared" ca="1" si="13"/>
        <v>M2</v>
      </c>
      <c r="T29" s="152">
        <f ca="1">OFFSET(CÁLCULO!H$15,ROW($T29)-ROW(T$15),0)</f>
        <v>270</v>
      </c>
      <c r="U29" s="153">
        <v>10.09</v>
      </c>
      <c r="V29" s="154" t="s">
        <v>155</v>
      </c>
      <c r="W29" s="152">
        <f t="shared" ca="1" si="14"/>
        <v>12.85</v>
      </c>
      <c r="X29" s="155">
        <f t="shared" ca="1" si="15"/>
        <v>3469.5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3469.5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 40780</v>
      </c>
      <c r="AF29" s="160">
        <f t="shared" ca="1" si="20"/>
        <v>2297</v>
      </c>
      <c r="AG29" s="550">
        <f t="shared" ca="1" si="21"/>
        <v>10.09</v>
      </c>
      <c r="AH29" s="551">
        <f t="shared" ca="1" si="22"/>
        <v>0.27350000000000002</v>
      </c>
      <c r="AJ29" s="553">
        <v>270</v>
      </c>
      <c r="AL29" s="574"/>
      <c r="AM29" s="431">
        <f t="shared" ca="1" si="0"/>
        <v>3469.5</v>
      </c>
      <c r="AN29" s="617">
        <f t="shared" ca="1" si="23"/>
        <v>12.85</v>
      </c>
    </row>
    <row r="30" spans="1:40" ht="38.2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2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3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>F</v>
      </c>
      <c r="M30" s="145" t="s">
        <v>198</v>
      </c>
      <c r="N30" s="146" t="str">
        <f t="shared" ca="1" si="11"/>
        <v>Serviço</v>
      </c>
      <c r="O30" s="147" t="str">
        <f t="shared" ca="1" si="12"/>
        <v>2.1.3.</v>
      </c>
      <c r="P30" s="148" t="s">
        <v>246</v>
      </c>
      <c r="Q30" s="149" t="s">
        <v>452</v>
      </c>
      <c r="R30" s="150" t="str">
        <f t="shared" ca="1" si="24"/>
        <v>REVESTIMENTO CERÂMICO PARA PISO COM PLACAS TIPO ESMALTADA EXTRA DE DIMENSÕES 35X35 CM APLICADA EM AMBIENTES DE ÁREA MAIOR QUE 10 M2. AF_06/2014</v>
      </c>
      <c r="S30" s="151" t="str">
        <f t="shared" ca="1" si="13"/>
        <v>M2</v>
      </c>
      <c r="T30" s="152">
        <f ca="1">OFFSET(CÁLCULO!H$15,ROW($T30)-ROW(T$15),0)</f>
        <v>40</v>
      </c>
      <c r="U30" s="153">
        <v>27.01</v>
      </c>
      <c r="V30" s="154" t="s">
        <v>155</v>
      </c>
      <c r="W30" s="152">
        <f t="shared" ca="1" si="14"/>
        <v>34.4</v>
      </c>
      <c r="X30" s="155">
        <f t="shared" ca="1" si="15"/>
        <v>1376</v>
      </c>
      <c r="Y30" s="156" t="s">
        <v>244</v>
      </c>
      <c r="Z30" t="str">
        <f t="shared" ca="1" si="16"/>
        <v>RA</v>
      </c>
      <c r="AA30" s="157">
        <f ca="1">IF($C30="S",IF($Z30="CP",$X30,IF($Z30="RA",(($X30)*QCI!$AA$3),0)),SomaAgrup)</f>
        <v>1376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str">
        <f t="shared" ca="1" si="19"/>
        <v>SINAPI 87248</v>
      </c>
      <c r="AF30" s="160">
        <f t="shared" ca="1" si="20"/>
        <v>5363</v>
      </c>
      <c r="AG30" s="550">
        <f t="shared" ca="1" si="21"/>
        <v>27.01</v>
      </c>
      <c r="AH30" s="551">
        <f t="shared" ca="1" si="22"/>
        <v>0.27350000000000002</v>
      </c>
      <c r="AJ30" s="553">
        <v>40</v>
      </c>
      <c r="AL30" s="574"/>
      <c r="AM30" s="431">
        <f t="shared" ca="1" si="0"/>
        <v>1376</v>
      </c>
      <c r="AN30" s="617">
        <f t="shared" ca="1" si="23"/>
        <v>34.4</v>
      </c>
    </row>
    <row r="31" spans="1:40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2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4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2.1.4.</v>
      </c>
      <c r="P31" s="148" t="s">
        <v>454</v>
      </c>
      <c r="Q31" s="149" t="s">
        <v>473</v>
      </c>
      <c r="R31" s="150" t="str">
        <f t="shared" ca="1" si="24"/>
        <v>REJUNTE EPOXI BRANCO</v>
      </c>
      <c r="S31" s="151" t="str">
        <f t="shared" ca="1" si="13"/>
        <v xml:space="preserve">KG    </v>
      </c>
      <c r="T31" s="152">
        <f ca="1">OFFSET(CÁLCULO!H$15,ROW($T31)-ROW(T$15),0)</f>
        <v>15</v>
      </c>
      <c r="U31" s="153">
        <v>39.869999999999997</v>
      </c>
      <c r="V31" s="154" t="s">
        <v>155</v>
      </c>
      <c r="W31" s="152">
        <f t="shared" ca="1" si="14"/>
        <v>50.77</v>
      </c>
      <c r="X31" s="155">
        <f t="shared" ca="1" si="15"/>
        <v>761.55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761.55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SINAPI-I 37329</v>
      </c>
      <c r="AF31" s="160">
        <f t="shared" ca="1" si="20"/>
        <v>10485</v>
      </c>
      <c r="AG31" s="550">
        <f t="shared" ca="1" si="21"/>
        <v>39.869999999999997</v>
      </c>
      <c r="AH31" s="551">
        <f t="shared" ca="1" si="22"/>
        <v>0.27350000000000002</v>
      </c>
      <c r="AJ31" s="553">
        <v>15</v>
      </c>
      <c r="AL31" s="574"/>
      <c r="AM31" s="431">
        <f t="shared" ca="1" si="0"/>
        <v>761.55</v>
      </c>
      <c r="AN31" s="617">
        <f t="shared" ca="1" si="23"/>
        <v>50.77</v>
      </c>
    </row>
    <row r="32" spans="1:40" ht="25.5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2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5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>F</v>
      </c>
      <c r="M32" s="145" t="s">
        <v>198</v>
      </c>
      <c r="N32" s="146" t="str">
        <f t="shared" ca="1" si="11"/>
        <v>Serviço</v>
      </c>
      <c r="O32" s="147" t="str">
        <f t="shared" ca="1" si="12"/>
        <v>2.1.5.</v>
      </c>
      <c r="P32" s="148" t="s">
        <v>246</v>
      </c>
      <c r="Q32" s="149" t="s">
        <v>474</v>
      </c>
      <c r="R32" s="150" t="str">
        <f ca="1">IF($C32="S",REFERENCIA.Descricao,"(digite a descrição aqui)")</f>
        <v>RODAPÉ CERÂMICO DE 7CM DE ALTURA COM PLACAS TIPO ESMALTADA EXTRA  DE DIMENSÕES 35X35CM. AF_06/2014</v>
      </c>
      <c r="S32" s="151" t="str">
        <f t="shared" ca="1" si="13"/>
        <v>M</v>
      </c>
      <c r="T32" s="152">
        <f ca="1">OFFSET(CÁLCULO!H$15,ROW($T32)-ROW(T$15),0)</f>
        <v>57</v>
      </c>
      <c r="U32" s="153">
        <v>4.4400000000000004</v>
      </c>
      <c r="V32" s="154" t="s">
        <v>155</v>
      </c>
      <c r="W32" s="152">
        <f t="shared" ca="1" si="14"/>
        <v>5.65</v>
      </c>
      <c r="X32" s="155">
        <f t="shared" ca="1" si="15"/>
        <v>322.05</v>
      </c>
      <c r="Y32" s="156" t="s">
        <v>244</v>
      </c>
      <c r="Z32" t="str">
        <f t="shared" ca="1" si="16"/>
        <v>RA</v>
      </c>
      <c r="AA32" s="157">
        <f ca="1">IF($C32="S",IF($Z32="CP",$X32,IF($Z32="RA",(($X32)*QCI!$AA$3),0)),SomaAgrup)</f>
        <v>322.05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str">
        <f t="shared" ca="1" si="19"/>
        <v>SINAPI 88648</v>
      </c>
      <c r="AF32" s="160">
        <f t="shared" ca="1" si="20"/>
        <v>5410</v>
      </c>
      <c r="AG32" s="550">
        <f t="shared" ca="1" si="21"/>
        <v>4.4400000000000004</v>
      </c>
      <c r="AH32" s="551">
        <f t="shared" ca="1" si="22"/>
        <v>0.27350000000000002</v>
      </c>
      <c r="AJ32" s="553">
        <v>57</v>
      </c>
      <c r="AL32" s="574"/>
      <c r="AM32" s="431">
        <f t="shared" ca="1" si="0"/>
        <v>322.05</v>
      </c>
      <c r="AN32" s="617">
        <f t="shared" ca="1" si="23"/>
        <v>5.65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2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5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0.27350000000000002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2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5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0.27350000000000002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2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5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0.27350000000000002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x14ac:dyDescent="0.2">
      <c r="A36">
        <f t="shared" si="1"/>
        <v>1</v>
      </c>
      <c r="B36">
        <f t="shared" ca="1" si="2"/>
        <v>1</v>
      </c>
      <c r="C36">
        <f t="shared" ca="1" si="3"/>
        <v>1</v>
      </c>
      <c r="D36">
        <f t="shared" ca="1" si="4"/>
        <v>16</v>
      </c>
      <c r="E36">
        <f ca="1">IF($C36=1,OFFSET(E36,-1,0)+MAX(1,COUNTIF(QCI!$A$13:$A$24,OFFSET(ORÇAMENTO!E36,-1,0))),OFFSET(E36,-1,0))</f>
        <v>3</v>
      </c>
      <c r="F36">
        <f t="shared" ca="1" si="5"/>
        <v>0</v>
      </c>
      <c r="G36">
        <f t="shared" ca="1" si="6"/>
        <v>0</v>
      </c>
      <c r="H36">
        <f t="shared" ca="1" si="7"/>
        <v>0</v>
      </c>
      <c r="I36">
        <f t="shared" ca="1" si="8"/>
        <v>0</v>
      </c>
      <c r="J36">
        <f t="shared" ca="1" si="9"/>
        <v>230</v>
      </c>
      <c r="K36">
        <f ca="1">IF(OR($C36="S",$C36=0),0,MATCH(OFFSET($D36,0,$C36)+IF($C36&lt;&gt;1,1,COUNTIF(QCI!$A$13:$A$24,ORÇAMENTO!E36)),OFFSET($D36,1,$C36,ROW($C$266)-ROW($C36)),0))</f>
        <v>16</v>
      </c>
      <c r="L36" s="144" t="str">
        <f t="shared" ca="1" si="10"/>
        <v>F</v>
      </c>
      <c r="M36" s="145" t="s">
        <v>194</v>
      </c>
      <c r="N36" s="146" t="str">
        <f t="shared" ca="1" si="11"/>
        <v>Meta</v>
      </c>
      <c r="O36" s="147" t="str">
        <f t="shared" ca="1" si="12"/>
        <v>3.</v>
      </c>
      <c r="P36" s="148" t="s">
        <v>246</v>
      </c>
      <c r="Q36" s="149"/>
      <c r="R36" s="150" t="str">
        <f ca="1">IF($C36="S",REFERENCIA.Descricao,"demolições e retiradas")</f>
        <v>demolições e retiradas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13417.68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13417.68</v>
      </c>
      <c r="AB36" s="158">
        <f t="shared" ca="1" si="17"/>
        <v>0</v>
      </c>
      <c r="AC36" s="159" t="str">
        <f t="shared" ca="1" si="18"/>
        <v/>
      </c>
      <c r="AD36" s="105">
        <f ca="1">IF(C36&lt;=CRONO.NivelExibicao,MAX($AD$15:OFFSET(AD36,-1,0))+IF($C36&lt;&gt;1,1,MAX(1,COUNTIF(QCI!$A$13:$A$24,OFFSET($E36,-1,0)))),"")</f>
        <v>5</v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0.27350000000000002</v>
      </c>
      <c r="AJ36" s="553"/>
      <c r="AL36" s="574"/>
      <c r="AM36" s="431">
        <f t="shared" ca="1" si="0"/>
        <v>13417.68</v>
      </c>
      <c r="AN36" s="617">
        <f t="shared" ca="1" si="23"/>
        <v>0</v>
      </c>
    </row>
    <row r="37" spans="1:40" x14ac:dyDescent="0.2">
      <c r="A37" t="str">
        <f t="shared" si="1"/>
        <v>S</v>
      </c>
      <c r="B37">
        <f t="shared" ca="1" si="2"/>
        <v>2</v>
      </c>
      <c r="C37">
        <f t="shared" ca="1" si="3"/>
        <v>2</v>
      </c>
      <c r="D37">
        <f t="shared" ca="1" si="4"/>
        <v>15</v>
      </c>
      <c r="E37">
        <f ca="1">IF($C37=1,OFFSET(E37,-1,0)+MAX(1,COUNTIF(QCI!$A$13:$A$24,OFFSET(ORÇAMENTO!E37,-1,0))),OFFSET(E37,-1,0))</f>
        <v>3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0</v>
      </c>
      <c r="J37">
        <f t="shared" ca="1" si="9"/>
        <v>15</v>
      </c>
      <c r="K37" t="e">
        <f ca="1">IF(OR($C37="S",$C37=0),0,MATCH(OFFSET($D37,0,$C37)+IF($C37&lt;&gt;1,1,COUNTIF(QCI!$A$13:$A$24,ORÇAMENTO!E37)),OFFSET($D37,1,$C37,ROW($C$266)-ROW($C37)),0))</f>
        <v>#N/A</v>
      </c>
      <c r="L37" s="144" t="str">
        <f t="shared" ca="1" si="10"/>
        <v>F</v>
      </c>
      <c r="M37" s="145" t="s">
        <v>198</v>
      </c>
      <c r="N37" s="146" t="str">
        <f t="shared" ca="1" si="11"/>
        <v>Nível 2</v>
      </c>
      <c r="O37" s="147" t="str">
        <f t="shared" ca="1" si="12"/>
        <v>3.1.</v>
      </c>
      <c r="P37" s="148" t="s">
        <v>246</v>
      </c>
      <c r="Q37" s="149"/>
      <c r="R37" s="150" t="str">
        <f t="shared" ca="1" si="24"/>
        <v>(digite a descrição aqui)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13417.68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13417.68</v>
      </c>
      <c r="AB37" s="158">
        <f t="shared" ca="1" si="17"/>
        <v>0</v>
      </c>
      <c r="AC37" s="159" t="str">
        <f t="shared" ca="1" si="18"/>
        <v/>
      </c>
      <c r="AD37" s="105">
        <f ca="1">IF(C37&lt;=CRONO.NivelExibicao,MAX($AD$15:OFFSET(AD37,-1,0))+IF($C37&lt;&gt;1,1,MAX(1,COUNTIF(QCI!$A$13:$A$24,OFFSET($E37,-1,0)))),"")</f>
        <v>6</v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0.27350000000000002</v>
      </c>
      <c r="AJ37" s="553"/>
      <c r="AL37" s="574"/>
      <c r="AM37" s="431">
        <f t="shared" ca="1" si="0"/>
        <v>13417.68</v>
      </c>
      <c r="AN37" s="617">
        <f t="shared" ca="1" si="23"/>
        <v>0</v>
      </c>
    </row>
    <row r="38" spans="1:40" ht="25.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3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1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3.1.1.</v>
      </c>
      <c r="P38" s="148" t="s">
        <v>246</v>
      </c>
      <c r="Q38" s="149" t="s">
        <v>445</v>
      </c>
      <c r="R38" s="150" t="str">
        <f t="shared" ca="1" si="24"/>
        <v>DEMOLIÇÃO DE ALVENARIA DE BLOCO FURADO, DE FORMA MANUAL, SEM REAPROVEITAMENTO. AF_12/2017</v>
      </c>
      <c r="S38" s="151" t="str">
        <f t="shared" ca="1" si="13"/>
        <v>M3</v>
      </c>
      <c r="T38" s="152">
        <f ca="1">OFFSET(CÁLCULO!H$15,ROW($T38)-ROW(T$15),0)</f>
        <v>9.0500000000000007</v>
      </c>
      <c r="U38" s="153">
        <v>43.9</v>
      </c>
      <c r="V38" s="154" t="s">
        <v>155</v>
      </c>
      <c r="W38" s="152">
        <f t="shared" ca="1" si="14"/>
        <v>55.91</v>
      </c>
      <c r="X38" s="155">
        <f t="shared" ca="1" si="15"/>
        <v>505.99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505.99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SINAPI 97622</v>
      </c>
      <c r="AF38" s="160">
        <f t="shared" ca="1" si="20"/>
        <v>6074</v>
      </c>
      <c r="AG38" s="550">
        <f t="shared" ca="1" si="21"/>
        <v>43.9</v>
      </c>
      <c r="AH38" s="551">
        <f t="shared" ca="1" si="22"/>
        <v>0.27350000000000002</v>
      </c>
      <c r="AJ38" s="553">
        <v>9.0500000000000007</v>
      </c>
      <c r="AL38" s="574"/>
      <c r="AM38" s="431">
        <f t="shared" ca="1" si="0"/>
        <v>505.99</v>
      </c>
      <c r="AN38" s="617">
        <f t="shared" ca="1" si="23"/>
        <v>55.91</v>
      </c>
    </row>
    <row r="39" spans="1:40" ht="25.5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3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2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3.1.2.</v>
      </c>
      <c r="P39" s="148" t="s">
        <v>246</v>
      </c>
      <c r="Q39" s="149" t="s">
        <v>446</v>
      </c>
      <c r="R39" s="150" t="str">
        <f t="shared" ca="1" si="24"/>
        <v>RETIRADA DE DIVISORIAS EM CHAPAS DE MADEIRA, COM MONTANTES METALICOS</v>
      </c>
      <c r="S39" s="151" t="str">
        <f t="shared" ca="1" si="13"/>
        <v>M2</v>
      </c>
      <c r="T39" s="152">
        <f ca="1">OFFSET(CÁLCULO!H$15,ROW($T39)-ROW(T$15),0)</f>
        <v>54.34</v>
      </c>
      <c r="U39" s="153">
        <v>22.58</v>
      </c>
      <c r="V39" s="154" t="s">
        <v>155</v>
      </c>
      <c r="W39" s="152">
        <f t="shared" ca="1" si="14"/>
        <v>28.76</v>
      </c>
      <c r="X39" s="155">
        <f t="shared" ca="1" si="15"/>
        <v>1562.82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1562.82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 72178</v>
      </c>
      <c r="AF39" s="160">
        <f t="shared" ca="1" si="20"/>
        <v>5127</v>
      </c>
      <c r="AG39" s="550">
        <f t="shared" ca="1" si="21"/>
        <v>22.58</v>
      </c>
      <c r="AH39" s="551">
        <f t="shared" ca="1" si="22"/>
        <v>0.27350000000000002</v>
      </c>
      <c r="AJ39" s="553">
        <v>54.34</v>
      </c>
      <c r="AL39" s="574"/>
      <c r="AM39" s="431">
        <f t="shared" ca="1" si="0"/>
        <v>1562.82</v>
      </c>
      <c r="AN39" s="617">
        <f t="shared" ca="1" si="23"/>
        <v>28.76</v>
      </c>
    </row>
    <row r="40" spans="1:40" ht="25.5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3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3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>F</v>
      </c>
      <c r="M40" s="145" t="s">
        <v>198</v>
      </c>
      <c r="N40" s="146" t="str">
        <f t="shared" ca="1" si="11"/>
        <v>Serviço</v>
      </c>
      <c r="O40" s="147" t="str">
        <f t="shared" ca="1" si="12"/>
        <v>3.1.3.</v>
      </c>
      <c r="P40" s="148" t="s">
        <v>246</v>
      </c>
      <c r="Q40" s="149" t="s">
        <v>447</v>
      </c>
      <c r="R40" s="150" t="str">
        <f t="shared" ca="1" si="24"/>
        <v>DEMOLIÇÃO DE LAJES, DE FORMA MANUAL, SEM REAPROVEITAMENTO. AF_12/2017</v>
      </c>
      <c r="S40" s="151" t="str">
        <f t="shared" ca="1" si="13"/>
        <v>M3</v>
      </c>
      <c r="T40" s="152">
        <f ca="1">OFFSET(CÁLCULO!H$15,ROW($T40)-ROW(T$15),0)</f>
        <v>7.55</v>
      </c>
      <c r="U40" s="153">
        <v>216.98</v>
      </c>
      <c r="V40" s="154" t="s">
        <v>155</v>
      </c>
      <c r="W40" s="152">
        <f t="shared" ca="1" si="14"/>
        <v>276.32</v>
      </c>
      <c r="X40" s="155">
        <f t="shared" ca="1" si="15"/>
        <v>2086.2199999999998</v>
      </c>
      <c r="Y40" s="156" t="s">
        <v>244</v>
      </c>
      <c r="Z40" t="str">
        <f t="shared" ca="1" si="16"/>
        <v>RA</v>
      </c>
      <c r="AA40" s="157">
        <f ca="1">IF($C40="S",IF($Z40="CP",$X40,IF($Z40="RA",(($X40)*QCI!$AA$3),0)),SomaAgrup)</f>
        <v>2086.2199999999998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str">
        <f t="shared" ca="1" si="19"/>
        <v>SINAPI 97628</v>
      </c>
      <c r="AF40" s="160">
        <f t="shared" ca="1" si="20"/>
        <v>6080</v>
      </c>
      <c r="AG40" s="550">
        <f t="shared" ca="1" si="21"/>
        <v>216.98</v>
      </c>
      <c r="AH40" s="551">
        <f t="shared" ca="1" si="22"/>
        <v>0.27350000000000002</v>
      </c>
      <c r="AJ40" s="553">
        <v>7.55</v>
      </c>
      <c r="AL40" s="574"/>
      <c r="AM40" s="431">
        <f t="shared" ca="1" si="0"/>
        <v>2086.2199999999998</v>
      </c>
      <c r="AN40" s="617">
        <f t="shared" ca="1" si="23"/>
        <v>276.32</v>
      </c>
    </row>
    <row r="41" spans="1:40" ht="25.5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3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4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>F</v>
      </c>
      <c r="M41" s="145" t="s">
        <v>198</v>
      </c>
      <c r="N41" s="146" t="str">
        <f t="shared" ca="1" si="11"/>
        <v>Serviço</v>
      </c>
      <c r="O41" s="147" t="str">
        <f t="shared" ca="1" si="12"/>
        <v>3.1.4.</v>
      </c>
      <c r="P41" s="148" t="s">
        <v>246</v>
      </c>
      <c r="Q41" s="149" t="s">
        <v>448</v>
      </c>
      <c r="R41" s="150" t="str">
        <f t="shared" ca="1" si="24"/>
        <v>REMOÇÃO DE PORTAS, DE FORMA MANUAL, SEM REAPROVEITAMENTO. AF_12/2017</v>
      </c>
      <c r="S41" s="151" t="str">
        <f t="shared" ca="1" si="13"/>
        <v>M2</v>
      </c>
      <c r="T41" s="152">
        <f ca="1">OFFSET(CÁLCULO!H$15,ROW($T41)-ROW(T$15),0)</f>
        <v>13.44</v>
      </c>
      <c r="U41" s="153">
        <v>7.16</v>
      </c>
      <c r="V41" s="154" t="s">
        <v>155</v>
      </c>
      <c r="W41" s="152">
        <f t="shared" ca="1" si="14"/>
        <v>9.1199999999999992</v>
      </c>
      <c r="X41" s="155">
        <f t="shared" ca="1" si="15"/>
        <v>122.57</v>
      </c>
      <c r="Y41" s="156" t="s">
        <v>244</v>
      </c>
      <c r="Z41" t="str">
        <f t="shared" ca="1" si="16"/>
        <v>RA</v>
      </c>
      <c r="AA41" s="157">
        <f ca="1">IF($C41="S",IF($Z41="CP",$X41,IF($Z41="RA",(($X41)*QCI!$AA$3),0)),SomaAgrup)</f>
        <v>122.57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str">
        <f t="shared" ca="1" si="19"/>
        <v>SINAPI 97644</v>
      </c>
      <c r="AF41" s="160">
        <f t="shared" ca="1" si="20"/>
        <v>6095</v>
      </c>
      <c r="AG41" s="550">
        <f t="shared" ca="1" si="21"/>
        <v>7.16</v>
      </c>
      <c r="AH41" s="551">
        <f t="shared" ca="1" si="22"/>
        <v>0.27350000000000002</v>
      </c>
      <c r="AJ41" s="553">
        <v>13.44</v>
      </c>
      <c r="AL41" s="574"/>
      <c r="AM41" s="431">
        <f t="shared" ca="1" si="0"/>
        <v>122.57</v>
      </c>
      <c r="AN41" s="617">
        <f t="shared" ca="1" si="23"/>
        <v>9.1199999999999992</v>
      </c>
    </row>
    <row r="42" spans="1:40" ht="25.5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3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5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>F</v>
      </c>
      <c r="M42" s="145" t="s">
        <v>198</v>
      </c>
      <c r="N42" s="146" t="str">
        <f t="shared" ca="1" si="11"/>
        <v>Serviço</v>
      </c>
      <c r="O42" s="147" t="str">
        <f t="shared" ca="1" si="12"/>
        <v>3.1.5.</v>
      </c>
      <c r="P42" s="148" t="s">
        <v>246</v>
      </c>
      <c r="Q42" s="149" t="s">
        <v>449</v>
      </c>
      <c r="R42" s="150" t="str">
        <f t="shared" ca="1" si="24"/>
        <v>REMOÇÃO DE TESOURAS METÁLICAS, COM VÃO MENOR QUE 8M, DE FORMA MECANIZADA, COM REAPROVEITAMENTO. AF_12/2017</v>
      </c>
      <c r="S42" s="151" t="str">
        <f t="shared" ca="1" si="13"/>
        <v>UN</v>
      </c>
      <c r="T42" s="152">
        <f ca="1">OFFSET(CÁLCULO!H$15,ROW($T42)-ROW(T$15),0)</f>
        <v>3</v>
      </c>
      <c r="U42" s="153">
        <v>140.86000000000001</v>
      </c>
      <c r="V42" s="154" t="s">
        <v>155</v>
      </c>
      <c r="W42" s="152">
        <f t="shared" ca="1" si="14"/>
        <v>179.39</v>
      </c>
      <c r="X42" s="155">
        <f t="shared" ca="1" si="15"/>
        <v>538.16999999999996</v>
      </c>
      <c r="Y42" s="156" t="s">
        <v>244</v>
      </c>
      <c r="Z42" t="str">
        <f t="shared" ca="1" si="16"/>
        <v>RA</v>
      </c>
      <c r="AA42" s="157">
        <f ca="1">IF($C42="S",IF($Z42="CP",$X42,IF($Z42="RA",(($X42)*QCI!$AA$3),0)),SomaAgrup)</f>
        <v>538.16999999999996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str">
        <f t="shared" ca="1" si="19"/>
        <v>SINAPI 97658</v>
      </c>
      <c r="AF42" s="160">
        <f t="shared" ca="1" si="20"/>
        <v>6108</v>
      </c>
      <c r="AG42" s="550">
        <f t="shared" ca="1" si="21"/>
        <v>140.86000000000001</v>
      </c>
      <c r="AH42" s="551">
        <f t="shared" ca="1" si="22"/>
        <v>0.27350000000000002</v>
      </c>
      <c r="AJ42" s="553">
        <v>3</v>
      </c>
      <c r="AL42" s="574"/>
      <c r="AM42" s="431">
        <f t="shared" ca="1" si="0"/>
        <v>538.16999999999996</v>
      </c>
      <c r="AN42" s="617">
        <f t="shared" ca="1" si="23"/>
        <v>179.39</v>
      </c>
    </row>
    <row r="43" spans="1:40" ht="25.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3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6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>F</v>
      </c>
      <c r="M43" s="145" t="s">
        <v>198</v>
      </c>
      <c r="N43" s="146" t="str">
        <f t="shared" ca="1" si="11"/>
        <v>Serviço</v>
      </c>
      <c r="O43" s="147" t="str">
        <f t="shared" ca="1" si="12"/>
        <v>3.1.6.</v>
      </c>
      <c r="P43" s="148" t="s">
        <v>458</v>
      </c>
      <c r="Q43" s="149" t="s">
        <v>479</v>
      </c>
      <c r="R43" s="150" t="str">
        <f ca="1">IF($C43="S",REFERENCIA.Descricao,"(digite a descrição aqui)")</f>
        <v>RETIRADA DE PARALELEPIPEDOS INCLUSIVE TRANSPORTE E DESTINO FINAL</v>
      </c>
      <c r="S43" s="151" t="s">
        <v>459</v>
      </c>
      <c r="T43" s="152">
        <f ca="1">OFFSET(CÁLCULO!H$15,ROW($T43)-ROW(T$15),0)</f>
        <v>154</v>
      </c>
      <c r="U43" s="153">
        <v>20</v>
      </c>
      <c r="V43" s="154" t="s">
        <v>155</v>
      </c>
      <c r="W43" s="152">
        <f t="shared" ca="1" si="14"/>
        <v>25.47</v>
      </c>
      <c r="X43" s="155">
        <f t="shared" ca="1" si="15"/>
        <v>3922.38</v>
      </c>
      <c r="Y43" s="156" t="s">
        <v>244</v>
      </c>
      <c r="Z43" t="str">
        <f t="shared" ca="1" si="16"/>
        <v>RA</v>
      </c>
      <c r="AA43" s="157">
        <f ca="1">IF($C43="S",IF($Z43="CP",$X43,IF($Z43="RA",(($X43)*QCI!$AA$3),0)),SomaAgrup)</f>
        <v>3922.38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str">
        <f t="shared" ca="1" si="19"/>
        <v>Cotação 013</v>
      </c>
      <c r="AF43" s="160">
        <f t="shared" ca="1" si="20"/>
        <v>30</v>
      </c>
      <c r="AG43" s="550">
        <f t="shared" ca="1" si="21"/>
        <v>20</v>
      </c>
      <c r="AH43" s="551">
        <f t="shared" ca="1" si="22"/>
        <v>0.27350000000000002</v>
      </c>
      <c r="AJ43" s="553">
        <v>154</v>
      </c>
      <c r="AL43" s="574"/>
      <c r="AM43" s="431">
        <f t="shared" ca="1" si="0"/>
        <v>3922.38</v>
      </c>
      <c r="AN43" s="617">
        <f t="shared" ca="1" si="23"/>
        <v>25.47</v>
      </c>
    </row>
    <row r="44" spans="1:40" ht="25.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3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7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3.1.7.</v>
      </c>
      <c r="P44" s="148" t="s">
        <v>246</v>
      </c>
      <c r="Q44" s="149" t="s">
        <v>478</v>
      </c>
      <c r="R44" s="150" t="str">
        <f t="shared" ca="1" si="24"/>
        <v>ESCAVAÇÃO MANUAL DE VALA COM PROFUNDIDADE MENOR OU IGUAL A 1,30 M. AF_03/2016</v>
      </c>
      <c r="S44" s="151" t="str">
        <f t="shared" ca="1" si="13"/>
        <v>M3</v>
      </c>
      <c r="T44" s="152">
        <f ca="1">OFFSET(CÁLCULO!H$15,ROW($T44)-ROW(T$15),0)</f>
        <v>53</v>
      </c>
      <c r="U44" s="153">
        <v>66.430000000000007</v>
      </c>
      <c r="V44" s="154" t="s">
        <v>155</v>
      </c>
      <c r="W44" s="152">
        <f t="shared" ca="1" si="14"/>
        <v>84.6</v>
      </c>
      <c r="X44" s="155">
        <f t="shared" ca="1" si="15"/>
        <v>4483.8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4483.8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SINAPI 93358</v>
      </c>
      <c r="AF44" s="160">
        <f t="shared" ca="1" si="20"/>
        <v>4846</v>
      </c>
      <c r="AG44" s="550">
        <f t="shared" ca="1" si="21"/>
        <v>66.459999999999994</v>
      </c>
      <c r="AH44" s="551">
        <f t="shared" ca="1" si="22"/>
        <v>0.27350000000000002</v>
      </c>
      <c r="AJ44" s="553">
        <v>53</v>
      </c>
      <c r="AL44" s="574"/>
      <c r="AM44" s="431">
        <f t="shared" ca="1" si="0"/>
        <v>4483.8</v>
      </c>
      <c r="AN44" s="617">
        <f t="shared" ca="1" si="23"/>
        <v>84.6</v>
      </c>
    </row>
    <row r="45" spans="1:40" ht="25.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3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8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>F</v>
      </c>
      <c r="M45" s="145" t="s">
        <v>198</v>
      </c>
      <c r="N45" s="146" t="str">
        <f t="shared" ca="1" si="11"/>
        <v>Serviço</v>
      </c>
      <c r="O45" s="147" t="str">
        <f t="shared" ca="1" si="12"/>
        <v>3.1.8.</v>
      </c>
      <c r="P45" s="148" t="s">
        <v>246</v>
      </c>
      <c r="Q45" s="149" t="s">
        <v>499</v>
      </c>
      <c r="R45" s="150" t="str">
        <f t="shared" ca="1" si="24"/>
        <v>REMOÇÃO DE JANELAS, DE FORMA MANUAL, SEM REAPROVEITAMENTO. AF_12/2017</v>
      </c>
      <c r="S45" s="151" t="str">
        <f t="shared" ca="1" si="13"/>
        <v>M2</v>
      </c>
      <c r="T45" s="152">
        <f ca="1">OFFSET(CÁLCULO!H$15,ROW($T45)-ROW(T$15),0)</f>
        <v>7.4</v>
      </c>
      <c r="U45" s="153">
        <v>20.77</v>
      </c>
      <c r="V45" s="154" t="s">
        <v>155</v>
      </c>
      <c r="W45" s="152">
        <f t="shared" ca="1" si="14"/>
        <v>26.45</v>
      </c>
      <c r="X45" s="155">
        <f t="shared" ca="1" si="15"/>
        <v>195.73</v>
      </c>
      <c r="Y45" s="156" t="s">
        <v>244</v>
      </c>
      <c r="Z45" t="str">
        <f t="shared" ca="1" si="16"/>
        <v>RA</v>
      </c>
      <c r="AA45" s="157">
        <f ca="1">IF($C45="S",IF($Z45="CP",$X45,IF($Z45="RA",(($X45)*QCI!$AA$3),0)),SomaAgrup)</f>
        <v>195.73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str">
        <f t="shared" ca="1" si="19"/>
        <v>SINAPI 97645</v>
      </c>
      <c r="AF45" s="160">
        <f t="shared" ca="1" si="20"/>
        <v>6096</v>
      </c>
      <c r="AG45" s="550">
        <f t="shared" ca="1" si="21"/>
        <v>20.77</v>
      </c>
      <c r="AH45" s="551">
        <f t="shared" ca="1" si="22"/>
        <v>0.27350000000000002</v>
      </c>
      <c r="AJ45" s="553">
        <v>7.4</v>
      </c>
      <c r="AL45" s="574"/>
      <c r="AM45" s="431">
        <f t="shared" ca="1" si="0"/>
        <v>195.73</v>
      </c>
      <c r="AN45" s="617">
        <f t="shared" ca="1" si="23"/>
        <v>26.45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3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8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0.27350000000000002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3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8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0.27350000000000002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3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8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0.27350000000000002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3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8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0.27350000000000002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3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8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0.27350000000000002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3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8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0.27350000000000002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x14ac:dyDescent="0.2">
      <c r="A52">
        <f t="shared" si="1"/>
        <v>1</v>
      </c>
      <c r="B52">
        <f t="shared" ca="1" si="2"/>
        <v>1</v>
      </c>
      <c r="C52">
        <f t="shared" ca="1" si="3"/>
        <v>1</v>
      </c>
      <c r="D52">
        <f t="shared" ca="1" si="4"/>
        <v>10</v>
      </c>
      <c r="E52">
        <f ca="1">IF($C52=1,OFFSET(E52,-1,0)+MAX(1,COUNTIF(QCI!$A$13:$A$24,OFFSET(ORÇAMENTO!E52,-1,0))),OFFSET(E52,-1,0))</f>
        <v>4</v>
      </c>
      <c r="F52">
        <f t="shared" ca="1" si="5"/>
        <v>0</v>
      </c>
      <c r="G52">
        <f t="shared" ca="1" si="6"/>
        <v>0</v>
      </c>
      <c r="H52">
        <f t="shared" ca="1" si="7"/>
        <v>0</v>
      </c>
      <c r="I52">
        <f t="shared" ca="1" si="8"/>
        <v>0</v>
      </c>
      <c r="J52">
        <f t="shared" ca="1" si="9"/>
        <v>214</v>
      </c>
      <c r="K52">
        <f ca="1">IF(OR($C52="S",$C52=0),0,MATCH(OFFSET($D52,0,$C52)+IF($C52&lt;&gt;1,1,COUNTIF(QCI!$A$13:$A$24,ORÇAMENTO!E52)),OFFSET($D52,1,$C52,ROW($C$266)-ROW($C52)),0))</f>
        <v>10</v>
      </c>
      <c r="L52" s="144" t="str">
        <f t="shared" ca="1" si="10"/>
        <v>F</v>
      </c>
      <c r="M52" s="145" t="s">
        <v>194</v>
      </c>
      <c r="N52" s="146" t="str">
        <f t="shared" ca="1" si="11"/>
        <v>Meta</v>
      </c>
      <c r="O52" s="147" t="str">
        <f t="shared" ca="1" si="12"/>
        <v>4.</v>
      </c>
      <c r="P52" s="148" t="s">
        <v>246</v>
      </c>
      <c r="Q52" s="149"/>
      <c r="R52" s="150" t="str">
        <f ca="1">IF($C52="S",REFERENCIA.Descricao,"ESQUADRIAS")</f>
        <v>ESQUADRIAS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40008.07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40008.07</v>
      </c>
      <c r="AB52" s="158">
        <f t="shared" ca="1" si="17"/>
        <v>0</v>
      </c>
      <c r="AC52" s="159" t="str">
        <f t="shared" ca="1" si="18"/>
        <v/>
      </c>
      <c r="AD52" s="105">
        <f ca="1">IF(C52&lt;=CRONO.NivelExibicao,MAX($AD$15:OFFSET(AD52,-1,0))+IF($C52&lt;&gt;1,1,MAX(1,COUNTIF(QCI!$A$13:$A$24,OFFSET($E52,-1,0)))),"")</f>
        <v>7</v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0.27350000000000002</v>
      </c>
      <c r="AJ52" s="553"/>
      <c r="AL52" s="574"/>
      <c r="AM52" s="431">
        <f t="shared" ca="1" si="0"/>
        <v>40008.07</v>
      </c>
      <c r="AN52" s="617">
        <f t="shared" ca="1" si="23"/>
        <v>0</v>
      </c>
    </row>
    <row r="53" spans="1:40" x14ac:dyDescent="0.2">
      <c r="A53" t="str">
        <f t="shared" si="1"/>
        <v>S</v>
      </c>
      <c r="B53">
        <f t="shared" ca="1" si="2"/>
        <v>2</v>
      </c>
      <c r="C53">
        <f t="shared" ca="1" si="3"/>
        <v>2</v>
      </c>
      <c r="D53">
        <f t="shared" ca="1" si="4"/>
        <v>9</v>
      </c>
      <c r="E53">
        <f ca="1">IF($C53=1,OFFSET(E53,-1,0)+MAX(1,COUNTIF(QCI!$A$13:$A$24,OFFSET(ORÇAMENTO!E53,-1,0))),OFFSET(E53,-1,0))</f>
        <v>4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0</v>
      </c>
      <c r="J53">
        <f t="shared" ca="1" si="9"/>
        <v>9</v>
      </c>
      <c r="K53" t="e">
        <f ca="1">IF(OR($C53="S",$C53=0),0,MATCH(OFFSET($D53,0,$C53)+IF($C53&lt;&gt;1,1,COUNTIF(QCI!$A$13:$A$24,ORÇAMENTO!E53)),OFFSET($D53,1,$C53,ROW($C$266)-ROW($C53)),0))</f>
        <v>#N/A</v>
      </c>
      <c r="L53" s="144" t="str">
        <f t="shared" ca="1" si="10"/>
        <v>F</v>
      </c>
      <c r="M53" s="145" t="s">
        <v>198</v>
      </c>
      <c r="N53" s="146" t="str">
        <f t="shared" ca="1" si="11"/>
        <v>Nível 2</v>
      </c>
      <c r="O53" s="147" t="str">
        <f t="shared" ca="1" si="12"/>
        <v>4.1.</v>
      </c>
      <c r="P53" s="148" t="s">
        <v>246</v>
      </c>
      <c r="Q53" s="149"/>
      <c r="R53" s="150" t="str">
        <f ca="1">IF($C53="S",REFERENCIA.Descricao,"(digite a descrição aqui)")</f>
        <v>(digite a descrição aqui)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40008.07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40008.07</v>
      </c>
      <c r="AB53" s="158">
        <f t="shared" ca="1" si="17"/>
        <v>0</v>
      </c>
      <c r="AC53" s="159" t="str">
        <f t="shared" ca="1" si="18"/>
        <v/>
      </c>
      <c r="AD53" s="105">
        <f ca="1">IF(C53&lt;=CRONO.NivelExibicao,MAX($AD$15:OFFSET(AD53,-1,0))+IF($C53&lt;&gt;1,1,MAX(1,COUNTIF(QCI!$A$13:$A$24,OFFSET($E53,-1,0)))),"")</f>
        <v>8</v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0.27350000000000002</v>
      </c>
      <c r="AJ53" s="553"/>
      <c r="AL53" s="574"/>
      <c r="AM53" s="431">
        <f t="shared" ca="1" si="0"/>
        <v>40008.07</v>
      </c>
      <c r="AN53" s="617">
        <f t="shared" ca="1" si="23"/>
        <v>0</v>
      </c>
    </row>
    <row r="54" spans="1:40" ht="25.5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4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1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>F</v>
      </c>
      <c r="M54" s="145" t="s">
        <v>198</v>
      </c>
      <c r="N54" s="146" t="str">
        <f t="shared" ca="1" si="11"/>
        <v>Serviço</v>
      </c>
      <c r="O54" s="147" t="str">
        <f t="shared" ca="1" si="12"/>
        <v>4.1.1.</v>
      </c>
      <c r="P54" s="148" t="s">
        <v>246</v>
      </c>
      <c r="Q54" s="149" t="s">
        <v>460</v>
      </c>
      <c r="R54" s="150" t="str">
        <f t="shared" ca="1" si="24"/>
        <v>RECOLOCACAO DE FOLHAS DE PORTA DE PASSAGEM OU JANELA, CONSIDERANDO REAPROVEITAMENTO DO MATERIAL</v>
      </c>
      <c r="S54" s="151" t="str">
        <f t="shared" ca="1" si="13"/>
        <v>UN</v>
      </c>
      <c r="T54" s="152">
        <f ca="1">OFFSET(CÁLCULO!H$15,ROW($T54)-ROW(T$15),0)</f>
        <v>8</v>
      </c>
      <c r="U54" s="153">
        <v>78.36</v>
      </c>
      <c r="V54" s="154" t="s">
        <v>155</v>
      </c>
      <c r="W54" s="152">
        <f t="shared" ca="1" si="14"/>
        <v>99.79</v>
      </c>
      <c r="X54" s="155">
        <f t="shared" ca="1" si="15"/>
        <v>798.32</v>
      </c>
      <c r="Y54" s="156" t="s">
        <v>244</v>
      </c>
      <c r="Z54" t="str">
        <f t="shared" ca="1" si="16"/>
        <v>RA</v>
      </c>
      <c r="AA54" s="157">
        <f ca="1">IF($C54="S",IF($Z54="CP",$X54,IF($Z54="RA",(($X54)*QCI!$AA$3),0)),SomaAgrup)</f>
        <v>798.32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str">
        <f t="shared" ca="1" si="19"/>
        <v>SINAPI 72144</v>
      </c>
      <c r="AF54" s="160">
        <f t="shared" ca="1" si="20"/>
        <v>1678</v>
      </c>
      <c r="AG54" s="550">
        <f t="shared" ca="1" si="21"/>
        <v>78.36</v>
      </c>
      <c r="AH54" s="551">
        <f t="shared" ca="1" si="22"/>
        <v>0.27350000000000002</v>
      </c>
      <c r="AJ54" s="553">
        <v>8</v>
      </c>
      <c r="AL54" s="574"/>
      <c r="AM54" s="431">
        <f t="shared" ca="1" si="0"/>
        <v>798.32</v>
      </c>
      <c r="AN54" s="617">
        <f t="shared" ca="1" si="23"/>
        <v>99.79</v>
      </c>
    </row>
    <row r="55" spans="1:40" ht="25.5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4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2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>F</v>
      </c>
      <c r="M55" s="145" t="s">
        <v>198</v>
      </c>
      <c r="N55" s="146" t="str">
        <f t="shared" ca="1" si="11"/>
        <v>Serviço</v>
      </c>
      <c r="O55" s="147" t="str">
        <f t="shared" ca="1" si="12"/>
        <v>4.1.2.</v>
      </c>
      <c r="P55" s="148" t="s">
        <v>454</v>
      </c>
      <c r="Q55" s="149" t="s">
        <v>461</v>
      </c>
      <c r="R55" s="150" t="str">
        <f t="shared" ca="1" si="24"/>
        <v>PORTAO DE ABRIR EM GRADIL DE METALON REDONDO DE 3/4"  VERTICAL, COM REQUADRO, ACABAMENTO NATURAL - COMPLETO</v>
      </c>
      <c r="S55" s="151" t="str">
        <f t="shared" ca="1" si="13"/>
        <v xml:space="preserve">M2    </v>
      </c>
      <c r="T55" s="152">
        <f ca="1">OFFSET(CÁLCULO!H$15,ROW($T55)-ROW(T$15),0)</f>
        <v>50.2</v>
      </c>
      <c r="U55" s="153">
        <v>311.2</v>
      </c>
      <c r="V55" s="154" t="s">
        <v>155</v>
      </c>
      <c r="W55" s="152">
        <f t="shared" ca="1" si="14"/>
        <v>396.31</v>
      </c>
      <c r="X55" s="155">
        <f t="shared" ca="1" si="15"/>
        <v>19894.759999999998</v>
      </c>
      <c r="Y55" s="156" t="s">
        <v>244</v>
      </c>
      <c r="Z55" t="str">
        <f t="shared" ca="1" si="16"/>
        <v>RA</v>
      </c>
      <c r="AA55" s="157">
        <f ca="1">IF($C55="S",IF($Z55="CP",$X55,IF($Z55="RA",(($X55)*QCI!$AA$3),0)),SomaAgrup)</f>
        <v>19894.759999999998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str">
        <f t="shared" ca="1" si="19"/>
        <v>SINAPI-I 4948</v>
      </c>
      <c r="AF55" s="160">
        <f t="shared" ca="1" si="20"/>
        <v>10263</v>
      </c>
      <c r="AG55" s="550">
        <f t="shared" ca="1" si="21"/>
        <v>311.2</v>
      </c>
      <c r="AH55" s="551">
        <f t="shared" ca="1" si="22"/>
        <v>0.27350000000000002</v>
      </c>
      <c r="AJ55" s="553">
        <v>50.2</v>
      </c>
      <c r="AL55" s="574"/>
      <c r="AM55" s="431">
        <f t="shared" ca="1" si="0"/>
        <v>19894.759999999998</v>
      </c>
      <c r="AN55" s="617">
        <f t="shared" ca="1" si="23"/>
        <v>396.31</v>
      </c>
    </row>
    <row r="56" spans="1:40" ht="38.25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4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3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>F</v>
      </c>
      <c r="M56" s="145" t="s">
        <v>198</v>
      </c>
      <c r="N56" s="146" t="str">
        <f t="shared" ca="1" si="11"/>
        <v>Serviço</v>
      </c>
      <c r="O56" s="147" t="str">
        <f t="shared" ca="1" si="12"/>
        <v>4.1.3.</v>
      </c>
      <c r="P56" s="148" t="s">
        <v>458</v>
      </c>
      <c r="Q56" s="149" t="s">
        <v>462</v>
      </c>
      <c r="R56" s="150" t="str">
        <f t="shared" ca="1" si="24"/>
        <v>KIT TELA MOSQUITEIRO EM PVC ,  COM MOLDURAS EM ALUMINIO METALON 100MMX50MM, ESPESSURA CHAPA 1,2MM, C/FIXAÇÕES,  INSTALADA - CONFORME DETALHE EM PROJETO</v>
      </c>
      <c r="S56" s="151" t="str">
        <f t="shared" ca="1" si="13"/>
        <v>M2</v>
      </c>
      <c r="T56" s="152">
        <f ca="1">OFFSET(CÁLCULO!H$15,ROW($T56)-ROW(T$15),0)</f>
        <v>3.8</v>
      </c>
      <c r="U56" s="153">
        <v>326</v>
      </c>
      <c r="V56" s="154" t="s">
        <v>155</v>
      </c>
      <c r="W56" s="152">
        <f t="shared" ca="1" si="14"/>
        <v>415.16</v>
      </c>
      <c r="X56" s="155">
        <f t="shared" ca="1" si="15"/>
        <v>1577.61</v>
      </c>
      <c r="Y56" s="156" t="s">
        <v>244</v>
      </c>
      <c r="Z56" t="str">
        <f t="shared" ca="1" si="16"/>
        <v>RA</v>
      </c>
      <c r="AA56" s="157">
        <f ca="1">IF($C56="S",IF($Z56="CP",$X56,IF($Z56="RA",(($X56)*QCI!$AA$3),0)),SomaAgrup)</f>
        <v>1577.61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str">
        <f t="shared" ca="1" si="19"/>
        <v>Cotação 001</v>
      </c>
      <c r="AF56" s="160">
        <f t="shared" ca="1" si="20"/>
        <v>18</v>
      </c>
      <c r="AG56" s="550">
        <f t="shared" ca="1" si="21"/>
        <v>326</v>
      </c>
      <c r="AH56" s="551">
        <f t="shared" ca="1" si="22"/>
        <v>0.27350000000000002</v>
      </c>
      <c r="AJ56" s="553">
        <v>3.8</v>
      </c>
      <c r="AL56" s="574"/>
      <c r="AM56" s="431">
        <f t="shared" ca="1" si="0"/>
        <v>1577.61</v>
      </c>
      <c r="AN56" s="617">
        <f t="shared" ca="1" si="23"/>
        <v>415.16</v>
      </c>
    </row>
    <row r="57" spans="1:40" ht="5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4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4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>F</v>
      </c>
      <c r="M57" s="145" t="s">
        <v>198</v>
      </c>
      <c r="N57" s="146" t="str">
        <f t="shared" ca="1" si="11"/>
        <v>Serviço</v>
      </c>
      <c r="O57" s="147" t="str">
        <f t="shared" ca="1" si="12"/>
        <v>4.1.4.</v>
      </c>
      <c r="P57" s="148" t="s">
        <v>454</v>
      </c>
      <c r="Q57" s="149" t="s">
        <v>463</v>
      </c>
      <c r="R57" s="150" t="str">
        <f t="shared" ca="1" si="24"/>
        <v>JANELA DE CORRER EM ALUMINIO, 100 X 150 CM (A X L), 4 FLS, SEM BANDEIRA, ACABAMENTO ACET OU BRILHANTE, BATENTE/REQUADRO DE 6 A 14 CM, COM VIDRO, SEM GUARNICAO/ALIZAR</v>
      </c>
      <c r="S57" s="151" t="str">
        <f t="shared" ca="1" si="13"/>
        <v xml:space="preserve">M2    </v>
      </c>
      <c r="T57" s="152">
        <f ca="1">OFFSET(CÁLCULO!H$15,ROW($T57)-ROW(T$15),0)</f>
        <v>5.4</v>
      </c>
      <c r="U57" s="153">
        <v>258.69</v>
      </c>
      <c r="V57" s="154" t="s">
        <v>155</v>
      </c>
      <c r="W57" s="152">
        <f t="shared" ca="1" si="14"/>
        <v>329.44</v>
      </c>
      <c r="X57" s="155">
        <f t="shared" ca="1" si="15"/>
        <v>1778.98</v>
      </c>
      <c r="Y57" s="156" t="s">
        <v>244</v>
      </c>
      <c r="Z57" t="str">
        <f t="shared" ca="1" si="16"/>
        <v>RA</v>
      </c>
      <c r="AA57" s="157">
        <f ca="1">IF($C57="S",IF($Z57="CP",$X57,IF($Z57="RA",(($X57)*QCI!$AA$3),0)),SomaAgrup)</f>
        <v>1778.98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str">
        <f t="shared" ca="1" si="19"/>
        <v>SINAPI-I 36884</v>
      </c>
      <c r="AF57" s="160">
        <f t="shared" ca="1" si="20"/>
        <v>8952</v>
      </c>
      <c r="AG57" s="550">
        <f t="shared" ca="1" si="21"/>
        <v>258.69</v>
      </c>
      <c r="AH57" s="551">
        <f t="shared" ca="1" si="22"/>
        <v>0.27350000000000002</v>
      </c>
      <c r="AJ57" s="553">
        <v>5.4</v>
      </c>
      <c r="AL57" s="574"/>
      <c r="AM57" s="431">
        <f t="shared" ca="1" si="0"/>
        <v>1778.98</v>
      </c>
      <c r="AN57" s="617">
        <f t="shared" ca="1" si="23"/>
        <v>329.44</v>
      </c>
    </row>
    <row r="58" spans="1:40" ht="25.5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4</v>
      </c>
      <c r="F58">
        <f t="shared" ca="1" si="5"/>
        <v>1</v>
      </c>
      <c r="G58">
        <f t="shared" ca="1" si="6"/>
        <v>0</v>
      </c>
      <c r="H58">
        <f t="shared" ca="1" si="7"/>
        <v>0</v>
      </c>
      <c r="I58">
        <f t="shared" ca="1" si="8"/>
        <v>5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>F</v>
      </c>
      <c r="M58" s="145" t="s">
        <v>198</v>
      </c>
      <c r="N58" s="146" t="str">
        <f t="shared" ca="1" si="11"/>
        <v>Serviço</v>
      </c>
      <c r="O58" s="147" t="str">
        <f t="shared" ca="1" si="12"/>
        <v>4.1.5.</v>
      </c>
      <c r="P58" s="148" t="s">
        <v>454</v>
      </c>
      <c r="Q58" s="149" t="s">
        <v>464</v>
      </c>
      <c r="R58" s="150" t="str">
        <f t="shared" ca="1" si="24"/>
        <v>JANELA MAXIMO AR, ACO, BATENTE / REQUADRO DE 6 A 14 CM, PINT ANTICORROSIVA, SEM VIDRO, COM GRADE, 1 FL, 60  X 80 CM (A X L)</v>
      </c>
      <c r="S58" s="151" t="str">
        <f t="shared" ca="1" si="13"/>
        <v xml:space="preserve">UN    </v>
      </c>
      <c r="T58" s="152">
        <f ca="1">OFFSET(CÁLCULO!H$15,ROW($T58)-ROW(T$15),0)</f>
        <v>10</v>
      </c>
      <c r="U58" s="153">
        <v>344.8</v>
      </c>
      <c r="V58" s="154" t="s">
        <v>155</v>
      </c>
      <c r="W58" s="152">
        <f t="shared" ca="1" si="14"/>
        <v>439.1</v>
      </c>
      <c r="X58" s="155">
        <f t="shared" ca="1" si="15"/>
        <v>4391</v>
      </c>
      <c r="Y58" s="156" t="s">
        <v>244</v>
      </c>
      <c r="Z58" t="str">
        <f t="shared" ca="1" si="16"/>
        <v>RA</v>
      </c>
      <c r="AA58" s="157">
        <f ca="1">IF($C58="S",IF($Z58="CP",$X58,IF($Z58="RA",(($X58)*QCI!$AA$3),0)),SomaAgrup)</f>
        <v>4391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str">
        <f t="shared" ca="1" si="19"/>
        <v>SINAPI-I 34797</v>
      </c>
      <c r="AF58" s="160">
        <f t="shared" ca="1" si="20"/>
        <v>8980</v>
      </c>
      <c r="AG58" s="550">
        <f t="shared" ca="1" si="21"/>
        <v>344.8</v>
      </c>
      <c r="AH58" s="551">
        <f t="shared" ca="1" si="22"/>
        <v>0.27350000000000002</v>
      </c>
      <c r="AJ58" s="553">
        <v>10</v>
      </c>
      <c r="AL58" s="574"/>
      <c r="AM58" s="431">
        <f t="shared" ca="1" si="0"/>
        <v>4391</v>
      </c>
      <c r="AN58" s="617">
        <f t="shared" ca="1" si="23"/>
        <v>439.1</v>
      </c>
    </row>
    <row r="59" spans="1:40" ht="38.25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4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6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>F</v>
      </c>
      <c r="M59" s="145" t="s">
        <v>198</v>
      </c>
      <c r="N59" s="146" t="str">
        <f t="shared" ca="1" si="11"/>
        <v>Serviço</v>
      </c>
      <c r="O59" s="147" t="str">
        <f t="shared" ca="1" si="12"/>
        <v>4.1.6.</v>
      </c>
      <c r="P59" s="148" t="s">
        <v>246</v>
      </c>
      <c r="Q59" s="149" t="s">
        <v>465</v>
      </c>
      <c r="R59" s="150" t="str">
        <f t="shared" ca="1" si="24"/>
        <v>PORTA DE ALUMÍNIO DE ABRIR COM LAMBRI, COM GUARNIÇÃO, FIXAÇÃO COM PARAFUSOS - FORNECIMENTO E INSTALAÇÃO. AF_08/2015</v>
      </c>
      <c r="S59" s="151" t="str">
        <f t="shared" ca="1" si="13"/>
        <v>M2</v>
      </c>
      <c r="T59" s="152">
        <f ca="1">OFFSET(CÁLCULO!H$15,ROW($T59)-ROW(T$15),0)</f>
        <v>10.08</v>
      </c>
      <c r="U59" s="153">
        <v>901.11</v>
      </c>
      <c r="V59" s="154" t="s">
        <v>155</v>
      </c>
      <c r="W59" s="152">
        <f t="shared" ca="1" si="14"/>
        <v>1147.56</v>
      </c>
      <c r="X59" s="155">
        <f t="shared" ca="1" si="15"/>
        <v>11567.4</v>
      </c>
      <c r="Y59" s="156" t="s">
        <v>244</v>
      </c>
      <c r="Z59" t="str">
        <f t="shared" ca="1" si="16"/>
        <v>RA</v>
      </c>
      <c r="AA59" s="157">
        <f ca="1">IF($C59="S",IF($Z59="CP",$X59,IF($Z59="RA",(($X59)*QCI!$AA$3),0)),SomaAgrup)</f>
        <v>11567.4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str">
        <f t="shared" ca="1" si="19"/>
        <v>SINAPI 91338</v>
      </c>
      <c r="AF59" s="160">
        <f t="shared" ca="1" si="20"/>
        <v>1805</v>
      </c>
      <c r="AG59" s="550">
        <f t="shared" ca="1" si="21"/>
        <v>901.11</v>
      </c>
      <c r="AH59" s="551">
        <f t="shared" ca="1" si="22"/>
        <v>0.27350000000000002</v>
      </c>
      <c r="AJ59" s="553">
        <v>10.08</v>
      </c>
      <c r="AL59" s="574"/>
      <c r="AM59" s="431">
        <f t="shared" ca="1" si="0"/>
        <v>11567.4</v>
      </c>
      <c r="AN59" s="617">
        <f t="shared" ca="1" si="23"/>
        <v>1147.56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4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6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0.27350000000000002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4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6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0.27350000000000002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x14ac:dyDescent="0.2">
      <c r="A62">
        <f t="shared" si="1"/>
        <v>1</v>
      </c>
      <c r="B62">
        <f t="shared" ca="1" si="2"/>
        <v>1</v>
      </c>
      <c r="C62">
        <f t="shared" ca="1" si="3"/>
        <v>1</v>
      </c>
      <c r="D62">
        <f t="shared" ca="1" si="4"/>
        <v>90</v>
      </c>
      <c r="E62">
        <f ca="1">IF($C62=1,OFFSET(E62,-1,0)+MAX(1,COUNTIF(QCI!$A$13:$A$24,OFFSET(ORÇAMENTO!E62,-1,0))),OFFSET(E62,-1,0))</f>
        <v>5</v>
      </c>
      <c r="F62">
        <f t="shared" ca="1" si="5"/>
        <v>0</v>
      </c>
      <c r="G62">
        <f t="shared" ca="1" si="6"/>
        <v>0</v>
      </c>
      <c r="H62">
        <f t="shared" ca="1" si="7"/>
        <v>0</v>
      </c>
      <c r="I62">
        <f t="shared" ca="1" si="8"/>
        <v>0</v>
      </c>
      <c r="J62">
        <f t="shared" ca="1" si="9"/>
        <v>204</v>
      </c>
      <c r="K62">
        <f ca="1">IF(OR($C62="S",$C62=0),0,MATCH(OFFSET($D62,0,$C62)+IF($C62&lt;&gt;1,1,COUNTIF(QCI!$A$13:$A$24,ORÇAMENTO!E62)),OFFSET($D62,1,$C62,ROW($C$266)-ROW($C62)),0))</f>
        <v>90</v>
      </c>
      <c r="L62" s="144" t="str">
        <f t="shared" ca="1" si="10"/>
        <v>F</v>
      </c>
      <c r="M62" s="145" t="s">
        <v>194</v>
      </c>
      <c r="N62" s="146" t="str">
        <f t="shared" ca="1" si="11"/>
        <v>Meta</v>
      </c>
      <c r="O62" s="147" t="str">
        <f t="shared" ca="1" si="12"/>
        <v>5.</v>
      </c>
      <c r="P62" s="148" t="s">
        <v>246</v>
      </c>
      <c r="Q62" s="149"/>
      <c r="R62" s="150" t="str">
        <f ca="1">IF($C62="S",REFERENCIA.Descricao,"fundações rasas, viga baldrame, pilares, vigas e paredes")</f>
        <v>fundações rasas, viga baldrame, pilares, vigas e paredes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73742.69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73742.69</v>
      </c>
      <c r="AB62" s="158">
        <f t="shared" ca="1" si="17"/>
        <v>0</v>
      </c>
      <c r="AC62" s="159" t="str">
        <f t="shared" ca="1" si="18"/>
        <v/>
      </c>
      <c r="AD62" s="105">
        <f ca="1">IF(C62&lt;=CRONO.NivelExibicao,MAX($AD$15:OFFSET(AD62,-1,0))+IF($C62&lt;&gt;1,1,MAX(1,COUNTIF(QCI!$A$13:$A$24,OFFSET($E62,-1,0)))),"")</f>
        <v>9</v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0.27350000000000002</v>
      </c>
      <c r="AJ62" s="553"/>
      <c r="AL62" s="574"/>
      <c r="AM62" s="431">
        <f t="shared" ca="1" si="0"/>
        <v>73742.69</v>
      </c>
      <c r="AN62" s="617">
        <f t="shared" ca="1" si="23"/>
        <v>0</v>
      </c>
    </row>
    <row r="63" spans="1:40" x14ac:dyDescent="0.2">
      <c r="A63" t="str">
        <f t="shared" si="1"/>
        <v>S</v>
      </c>
      <c r="B63">
        <f t="shared" ca="1" si="2"/>
        <v>2</v>
      </c>
      <c r="C63">
        <f t="shared" ca="1" si="3"/>
        <v>2</v>
      </c>
      <c r="D63">
        <f t="shared" ca="1" si="4"/>
        <v>89</v>
      </c>
      <c r="E63">
        <f ca="1">IF($C63=1,OFFSET(E63,-1,0)+MAX(1,COUNTIF(QCI!$A$13:$A$24,OFFSET(ORÇAMENTO!E63,-1,0))),OFFSET(E63,-1,0))</f>
        <v>5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0</v>
      </c>
      <c r="J63">
        <f t="shared" ca="1" si="9"/>
        <v>89</v>
      </c>
      <c r="K63" t="e">
        <f ca="1">IF(OR($C63="S",$C63=0),0,MATCH(OFFSET($D63,0,$C63)+IF($C63&lt;&gt;1,1,COUNTIF(QCI!$A$13:$A$24,ORÇAMENTO!E63)),OFFSET($D63,1,$C63,ROW($C$266)-ROW($C63)),0))</f>
        <v>#N/A</v>
      </c>
      <c r="L63" s="144" t="str">
        <f t="shared" ca="1" si="10"/>
        <v>F</v>
      </c>
      <c r="M63" s="145" t="s">
        <v>198</v>
      </c>
      <c r="N63" s="146" t="str">
        <f t="shared" ca="1" si="11"/>
        <v>Nível 2</v>
      </c>
      <c r="O63" s="147" t="str">
        <f t="shared" ca="1" si="12"/>
        <v>5.1.</v>
      </c>
      <c r="P63" s="148" t="s">
        <v>246</v>
      </c>
      <c r="Q63" s="149"/>
      <c r="R63" s="150" t="str">
        <f t="shared" ca="1" si="24"/>
        <v>(digite a descrição aqui)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73742.69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73742.69</v>
      </c>
      <c r="AB63" s="158">
        <f t="shared" ca="1" si="17"/>
        <v>0</v>
      </c>
      <c r="AC63" s="159" t="str">
        <f t="shared" ca="1" si="18"/>
        <v/>
      </c>
      <c r="AD63" s="105">
        <f ca="1">IF(C63&lt;=CRONO.NivelExibicao,MAX($AD$15:OFFSET(AD63,-1,0))+IF($C63&lt;&gt;1,1,MAX(1,COUNTIF(QCI!$A$13:$A$24,OFFSET($E63,-1,0)))),"")</f>
        <v>10</v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0.27350000000000002</v>
      </c>
      <c r="AJ63" s="553"/>
      <c r="AL63" s="574"/>
      <c r="AM63" s="431">
        <f t="shared" ca="1" si="0"/>
        <v>73742.69</v>
      </c>
      <c r="AN63" s="617">
        <f t="shared" ca="1" si="23"/>
        <v>0</v>
      </c>
    </row>
    <row r="64" spans="1:40" ht="25.5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5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>F</v>
      </c>
      <c r="M64" s="145" t="s">
        <v>198</v>
      </c>
      <c r="N64" s="146" t="str">
        <f t="shared" ca="1" si="11"/>
        <v>Serviço</v>
      </c>
      <c r="O64" s="147" t="str">
        <f t="shared" ca="1" si="12"/>
        <v>5.1.1.</v>
      </c>
      <c r="P64" s="148" t="s">
        <v>458</v>
      </c>
      <c r="Q64" s="149" t="s">
        <v>475</v>
      </c>
      <c r="R64" s="150" t="str">
        <f t="shared" ca="1" si="24"/>
        <v xml:space="preserve"> coifa aço inox  430 na chapa 22 , medindo: 1,73m x 1,20cm x 0,60 c/ exaustor de  0,40cm diâmetro, com10 metros de dutos inox instalada</v>
      </c>
      <c r="S64" s="151" t="str">
        <f t="shared" ca="1" si="13"/>
        <v>UNIDADE</v>
      </c>
      <c r="T64" s="152">
        <f ca="1">OFFSET(CÁLCULO!H$15,ROW($T64)-ROW(T$15),0)</f>
        <v>1</v>
      </c>
      <c r="U64" s="153">
        <v>3220.23</v>
      </c>
      <c r="V64" s="154" t="s">
        <v>155</v>
      </c>
      <c r="W64" s="152">
        <f t="shared" ca="1" si="14"/>
        <v>4100.96</v>
      </c>
      <c r="X64" s="155">
        <f t="shared" ca="1" si="15"/>
        <v>4100.96</v>
      </c>
      <c r="Y64" s="156" t="s">
        <v>244</v>
      </c>
      <c r="Z64" t="str">
        <f t="shared" ca="1" si="16"/>
        <v>RA</v>
      </c>
      <c r="AA64" s="157">
        <f ca="1">IF($C64="S",IF($Z64="CP",$X64,IF($Z64="RA",(($X64)*QCI!$AA$3),0)),SomaAgrup)</f>
        <v>4100.96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str">
        <f t="shared" ca="1" si="19"/>
        <v>Cotação 007</v>
      </c>
      <c r="AF64" s="160">
        <f t="shared" ca="1" si="20"/>
        <v>24</v>
      </c>
      <c r="AG64" s="550">
        <f t="shared" ca="1" si="21"/>
        <v>3220.23</v>
      </c>
      <c r="AH64" s="551">
        <f t="shared" ca="1" si="22"/>
        <v>0.27350000000000002</v>
      </c>
      <c r="AJ64" s="553">
        <v>1</v>
      </c>
      <c r="AL64" s="574"/>
      <c r="AM64" s="431">
        <f t="shared" ca="1" si="0"/>
        <v>4100.96</v>
      </c>
      <c r="AN64" s="617">
        <f t="shared" ca="1" si="23"/>
        <v>4100.96</v>
      </c>
    </row>
    <row r="65" spans="1:40" ht="25.5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5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2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>F</v>
      </c>
      <c r="M65" s="145" t="s">
        <v>198</v>
      </c>
      <c r="N65" s="146" t="str">
        <f t="shared" ca="1" si="11"/>
        <v>Serviço</v>
      </c>
      <c r="O65" s="147" t="str">
        <f t="shared" ca="1" si="12"/>
        <v>5.1.2.</v>
      </c>
      <c r="P65" s="148" t="s">
        <v>458</v>
      </c>
      <c r="Q65" s="149" t="s">
        <v>476</v>
      </c>
      <c r="R65" s="150" t="str">
        <f t="shared" ca="1" si="24"/>
        <v xml:space="preserve"> coifa aço inox  430 na chapa 22 , medindo: 1,20m x 1,20cm x 0,60 c/ exaustor de  0,40cm diâmetro, com 5 metros de dutos inox instalada</v>
      </c>
      <c r="S65" s="151" t="s">
        <v>477</v>
      </c>
      <c r="T65" s="152">
        <f ca="1">OFFSET(CÁLCULO!H$15,ROW($T65)-ROW(T$15),0)</f>
        <v>1</v>
      </c>
      <c r="U65" s="153">
        <v>1650.23</v>
      </c>
      <c r="V65" s="154" t="s">
        <v>155</v>
      </c>
      <c r="W65" s="152">
        <f t="shared" ca="1" si="14"/>
        <v>2101.5700000000002</v>
      </c>
      <c r="X65" s="155">
        <f t="shared" ca="1" si="15"/>
        <v>2101.5700000000002</v>
      </c>
      <c r="Y65" s="156" t="s">
        <v>244</v>
      </c>
      <c r="Z65" t="str">
        <f t="shared" ca="1" si="16"/>
        <v>RA</v>
      </c>
      <c r="AA65" s="157">
        <f ca="1">IF($C65="S",IF($Z65="CP",$X65,IF($Z65="RA",(($X65)*QCI!$AA$3),0)),SomaAgrup)</f>
        <v>2101.5700000000002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str">
        <f t="shared" ca="1" si="19"/>
        <v>Cotação 012</v>
      </c>
      <c r="AF65" s="160">
        <f t="shared" ca="1" si="20"/>
        <v>29</v>
      </c>
      <c r="AG65" s="550">
        <f t="shared" ca="1" si="21"/>
        <v>1650.23</v>
      </c>
      <c r="AH65" s="551">
        <f t="shared" ca="1" si="22"/>
        <v>0.27350000000000002</v>
      </c>
      <c r="AJ65" s="553">
        <v>1</v>
      </c>
      <c r="AL65" s="574"/>
      <c r="AM65" s="431">
        <f t="shared" ca="1" si="0"/>
        <v>2101.5700000000002</v>
      </c>
      <c r="AN65" s="617">
        <f t="shared" ca="1" si="23"/>
        <v>2101.5700000000002</v>
      </c>
    </row>
    <row r="66" spans="1:40" ht="5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5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3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>F</v>
      </c>
      <c r="M66" s="145" t="s">
        <v>198</v>
      </c>
      <c r="N66" s="146" t="str">
        <f t="shared" ca="1" si="11"/>
        <v>Serviço</v>
      </c>
      <c r="O66" s="147" t="str">
        <f t="shared" ca="1" si="12"/>
        <v>5.1.3.</v>
      </c>
      <c r="P66" s="148" t="s">
        <v>246</v>
      </c>
      <c r="Q66" s="149" t="s">
        <v>514</v>
      </c>
      <c r="R66" s="150" t="str">
        <f ca="1">IF($C66="S",REFERENCIA.Descricao,"(digite a descrição aqui)")</f>
        <v>ALVENARIA DE VEDAÇÃO DE BLOCOS CERÂMICOS FURADOS NA HORIZONTAL DE 9X19X19CM (ESPESSURA 9CM) DE PAREDES COM ÁREA LÍQUIDA MENOR QUE 6M² SEM VÃOS E ARGAMASSA DE ASSENTAMENTO COM PREPARO EM BETONEIRA. AF_06/2014</v>
      </c>
      <c r="S66" s="151" t="str">
        <f t="shared" ca="1" si="13"/>
        <v>M2</v>
      </c>
      <c r="T66" s="152">
        <f ca="1">OFFSET(CÁLCULO!H$15,ROW($T66)-ROW(T$15),0)</f>
        <v>145</v>
      </c>
      <c r="U66" s="153">
        <v>67.27</v>
      </c>
      <c r="V66" s="154" t="s">
        <v>155</v>
      </c>
      <c r="W66" s="152">
        <f t="shared" ca="1" si="14"/>
        <v>85.67</v>
      </c>
      <c r="X66" s="155">
        <f t="shared" ca="1" si="15"/>
        <v>12422.15</v>
      </c>
      <c r="Y66" s="156" t="s">
        <v>244</v>
      </c>
      <c r="Z66" t="str">
        <f t="shared" ca="1" si="16"/>
        <v>RA</v>
      </c>
      <c r="AA66" s="157">
        <f ca="1">IF($C66="S",IF($Z66="CP",$X66,IF($Z66="RA",(($X66)*QCI!$AA$3),0)),SomaAgrup)</f>
        <v>12422.15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str">
        <f t="shared" ca="1" si="19"/>
        <v>SINAPI 87495</v>
      </c>
      <c r="AF66" s="160">
        <f t="shared" ca="1" si="20"/>
        <v>4990</v>
      </c>
      <c r="AG66" s="550">
        <f t="shared" ca="1" si="21"/>
        <v>67.27</v>
      </c>
      <c r="AH66" s="551">
        <f t="shared" ca="1" si="22"/>
        <v>0.27350000000000002</v>
      </c>
      <c r="AJ66" s="553">
        <v>145</v>
      </c>
      <c r="AL66" s="574"/>
      <c r="AM66" s="431">
        <f t="shared" ca="1" si="0"/>
        <v>12422.15</v>
      </c>
      <c r="AN66" s="617">
        <f t="shared" ca="1" si="23"/>
        <v>85.67</v>
      </c>
    </row>
    <row r="67" spans="1:40" ht="38.2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5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4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>F</v>
      </c>
      <c r="M67" s="145" t="s">
        <v>198</v>
      </c>
      <c r="N67" s="146" t="str">
        <f t="shared" ca="1" si="11"/>
        <v>Serviço</v>
      </c>
      <c r="O67" s="147" t="str">
        <f t="shared" ca="1" si="12"/>
        <v>5.1.4.</v>
      </c>
      <c r="P67" s="148" t="s">
        <v>246</v>
      </c>
      <c r="Q67" s="149" t="s">
        <v>480</v>
      </c>
      <c r="R67" s="150" t="str">
        <f t="shared" ca="1" si="24"/>
        <v>RECOLOCACAO DE DIVISORIAS TIPO CHAPAS OU TABUAS, INCLUSIVE ENTARUGAMENTO, CONSIDERANDO REAPROVEITAMENTO DO MATERIAL</v>
      </c>
      <c r="S67" s="151" t="str">
        <f t="shared" ca="1" si="13"/>
        <v>M2</v>
      </c>
      <c r="T67" s="152">
        <f ca="1">OFFSET(CÁLCULO!H$15,ROW($T67)-ROW(T$15),0)</f>
        <v>26.7</v>
      </c>
      <c r="U67" s="153">
        <v>30.48</v>
      </c>
      <c r="V67" s="154" t="s">
        <v>155</v>
      </c>
      <c r="W67" s="152">
        <f t="shared" ca="1" si="14"/>
        <v>38.82</v>
      </c>
      <c r="X67" s="155">
        <f t="shared" ca="1" si="15"/>
        <v>1036.49</v>
      </c>
      <c r="Y67" s="156" t="s">
        <v>244</v>
      </c>
      <c r="Z67" t="str">
        <f t="shared" ca="1" si="16"/>
        <v>RA</v>
      </c>
      <c r="AA67" s="157">
        <f ca="1">IF($C67="S",IF($Z67="CP",$X67,IF($Z67="RA",(($X67)*QCI!$AA$3),0)),SomaAgrup)</f>
        <v>1036.49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str">
        <f t="shared" ca="1" si="19"/>
        <v>SINAPI 72181</v>
      </c>
      <c r="AF67" s="160">
        <f t="shared" ca="1" si="20"/>
        <v>5130</v>
      </c>
      <c r="AG67" s="550">
        <f t="shared" ca="1" si="21"/>
        <v>30.48</v>
      </c>
      <c r="AH67" s="551">
        <f t="shared" ca="1" si="22"/>
        <v>0.27350000000000002</v>
      </c>
      <c r="AJ67" s="553">
        <v>26.7</v>
      </c>
      <c r="AL67" s="574"/>
      <c r="AM67" s="431">
        <f t="shared" ca="1" si="0"/>
        <v>1036.49</v>
      </c>
      <c r="AN67" s="617">
        <f t="shared" ca="1" si="23"/>
        <v>38.82</v>
      </c>
    </row>
    <row r="68" spans="1:40" ht="25.5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5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5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>F</v>
      </c>
      <c r="M68" s="145" t="s">
        <v>198</v>
      </c>
      <c r="N68" s="146" t="str">
        <f t="shared" ca="1" si="11"/>
        <v>Serviço</v>
      </c>
      <c r="O68" s="147" t="str">
        <f t="shared" ca="1" si="12"/>
        <v>5.1.5.</v>
      </c>
      <c r="P68" s="148" t="s">
        <v>246</v>
      </c>
      <c r="Q68" s="149" t="s">
        <v>483</v>
      </c>
      <c r="R68" s="150" t="s">
        <v>502</v>
      </c>
      <c r="S68" s="151" t="str">
        <f t="shared" ca="1" si="13"/>
        <v>M2</v>
      </c>
      <c r="T68" s="152">
        <f ca="1">OFFSET(CÁLCULO!H$15,ROW($T68)-ROW(T$15),0)</f>
        <v>320</v>
      </c>
      <c r="U68" s="153">
        <v>6.78</v>
      </c>
      <c r="V68" s="154" t="s">
        <v>155</v>
      </c>
      <c r="W68" s="152">
        <f t="shared" ca="1" si="14"/>
        <v>8.6300000000000008</v>
      </c>
      <c r="X68" s="155">
        <f t="shared" ca="1" si="15"/>
        <v>2761.6</v>
      </c>
      <c r="Y68" s="156" t="s">
        <v>244</v>
      </c>
      <c r="Z68" t="str">
        <f t="shared" ca="1" si="16"/>
        <v>RA</v>
      </c>
      <c r="AA68" s="157">
        <f ca="1">IF($C68="S",IF($Z68="CP",$X68,IF($Z68="RA",(($X68)*QCI!$AA$3),0)),SomaAgrup)</f>
        <v>2761.6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str">
        <f t="shared" ca="1" si="19"/>
        <v>SINAPI 87905</v>
      </c>
      <c r="AF68" s="160">
        <f t="shared" ca="1" si="20"/>
        <v>5533</v>
      </c>
      <c r="AG68" s="550">
        <f t="shared" ca="1" si="21"/>
        <v>6.78</v>
      </c>
      <c r="AH68" s="551">
        <f t="shared" ca="1" si="22"/>
        <v>0.27350000000000002</v>
      </c>
      <c r="AJ68" s="553">
        <v>320</v>
      </c>
      <c r="AL68" s="574"/>
      <c r="AM68" s="431">
        <f t="shared" ca="1" si="0"/>
        <v>2761.6</v>
      </c>
      <c r="AN68" s="617">
        <f t="shared" ca="1" si="23"/>
        <v>8.6300000000000008</v>
      </c>
    </row>
    <row r="69" spans="1:40" ht="38.25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5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6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>F</v>
      </c>
      <c r="M69" s="145" t="s">
        <v>198</v>
      </c>
      <c r="N69" s="146" t="str">
        <f t="shared" ca="1" si="11"/>
        <v>Serviço</v>
      </c>
      <c r="O69" s="147" t="str">
        <f t="shared" ca="1" si="12"/>
        <v>5.1.6.</v>
      </c>
      <c r="P69" s="148" t="s">
        <v>246</v>
      </c>
      <c r="Q69" s="149" t="s">
        <v>484</v>
      </c>
      <c r="R69" s="150" t="str">
        <f t="shared" ca="1" si="24"/>
        <v>EMBOÇO OU MASSA ÚNICA EM ARGAMASSA TRAÇO 1:2:8, PREPARO MANUAL, APLICADA MANUALMENTE EM PANOS DE FACHADA COM PRESENÇA DE VÃOS, ESPESSURA DE 25 MM. AF_06/2014</v>
      </c>
      <c r="S69" s="151" t="str">
        <f t="shared" ca="1" si="13"/>
        <v>M2</v>
      </c>
      <c r="T69" s="152">
        <f ca="1">OFFSET(CÁLCULO!H$15,ROW($T69)-ROW(T$15),0)</f>
        <v>320</v>
      </c>
      <c r="U69" s="153">
        <v>44.32</v>
      </c>
      <c r="V69" s="154" t="s">
        <v>155</v>
      </c>
      <c r="W69" s="152">
        <f t="shared" ca="1" si="14"/>
        <v>56.44</v>
      </c>
      <c r="X69" s="155">
        <f t="shared" ca="1" si="15"/>
        <v>18060.8</v>
      </c>
      <c r="Y69" s="156" t="s">
        <v>244</v>
      </c>
      <c r="Z69" t="str">
        <f t="shared" ca="1" si="16"/>
        <v>RA</v>
      </c>
      <c r="AA69" s="157">
        <f ca="1">IF($C69="S",IF($Z69="CP",$X69,IF($Z69="RA",(($X69)*QCI!$AA$3),0)),SomaAgrup)</f>
        <v>18060.8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str">
        <f t="shared" ca="1" si="19"/>
        <v>SINAPI 87777</v>
      </c>
      <c r="AF69" s="160">
        <f t="shared" ca="1" si="20"/>
        <v>5602</v>
      </c>
      <c r="AG69" s="550">
        <f t="shared" ca="1" si="21"/>
        <v>44.32</v>
      </c>
      <c r="AH69" s="551">
        <f t="shared" ca="1" si="22"/>
        <v>0.27350000000000002</v>
      </c>
      <c r="AJ69" s="553">
        <v>320</v>
      </c>
      <c r="AL69" s="574"/>
      <c r="AM69" s="431">
        <f t="shared" ca="1" si="0"/>
        <v>18060.8</v>
      </c>
      <c r="AN69" s="617">
        <f t="shared" ca="1" si="23"/>
        <v>56.44</v>
      </c>
    </row>
    <row r="70" spans="1:40" ht="5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5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7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>F</v>
      </c>
      <c r="M70" s="145" t="s">
        <v>198</v>
      </c>
      <c r="N70" s="146" t="str">
        <f t="shared" ca="1" si="11"/>
        <v>Serviço</v>
      </c>
      <c r="O70" s="147" t="str">
        <f t="shared" ca="1" si="12"/>
        <v>5.1.7.</v>
      </c>
      <c r="P70" s="148" t="s">
        <v>246</v>
      </c>
      <c r="Q70" s="149" t="s">
        <v>485</v>
      </c>
      <c r="R70" s="150" t="str">
        <f t="shared" ca="1" si="24"/>
        <v>REVESTIMENTO CERÂMICO PARA PAREDES INTERNAS COM PLACAS TIPO ESMALTADA EXTRA DE DIMENSÕES 20X20 CM APLICADAS EM AMBIENTES DE ÁREA MENOR QUE 5 M² A MEIA ALTURA DAS PAREDES. AF_06/2014</v>
      </c>
      <c r="S70" s="151" t="str">
        <f t="shared" ca="1" si="13"/>
        <v>M2</v>
      </c>
      <c r="T70" s="152">
        <f ca="1">OFFSET(CÁLCULO!H$15,ROW($T70)-ROW(T$15),0)</f>
        <v>70</v>
      </c>
      <c r="U70" s="153">
        <v>47.64</v>
      </c>
      <c r="V70" s="154" t="s">
        <v>155</v>
      </c>
      <c r="W70" s="152">
        <f t="shared" ca="1" si="14"/>
        <v>60.67</v>
      </c>
      <c r="X70" s="155">
        <f t="shared" ca="1" si="15"/>
        <v>4246.8999999999996</v>
      </c>
      <c r="Y70" s="156" t="s">
        <v>244</v>
      </c>
      <c r="Z70" t="str">
        <f t="shared" ca="1" si="16"/>
        <v>RA</v>
      </c>
      <c r="AA70" s="157">
        <f ca="1">IF($C70="S",IF($Z70="CP",$X70,IF($Z70="RA",(($X70)*QCI!$AA$3),0)),SomaAgrup)</f>
        <v>4246.8999999999996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str">
        <f t="shared" ca="1" si="19"/>
        <v>SINAPI 87266</v>
      </c>
      <c r="AF70" s="160">
        <f t="shared" ca="1" si="20"/>
        <v>5684</v>
      </c>
      <c r="AG70" s="550">
        <f t="shared" ca="1" si="21"/>
        <v>47.64</v>
      </c>
      <c r="AH70" s="551">
        <f t="shared" ca="1" si="22"/>
        <v>0.27350000000000002</v>
      </c>
      <c r="AJ70" s="553">
        <v>70</v>
      </c>
      <c r="AL70" s="574"/>
      <c r="AM70" s="431">
        <f t="shared" ca="1" si="0"/>
        <v>4246.8999999999996</v>
      </c>
      <c r="AN70" s="617">
        <f t="shared" ca="1" si="23"/>
        <v>60.67</v>
      </c>
    </row>
    <row r="71" spans="1:40" ht="5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5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8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>F</v>
      </c>
      <c r="M71" s="145" t="s">
        <v>198</v>
      </c>
      <c r="N71" s="146" t="str">
        <f t="shared" ca="1" si="11"/>
        <v>Serviço</v>
      </c>
      <c r="O71" s="147" t="str">
        <f t="shared" ca="1" si="12"/>
        <v>5.1.8.</v>
      </c>
      <c r="P71" s="148" t="s">
        <v>246</v>
      </c>
      <c r="Q71" s="149" t="s">
        <v>486</v>
      </c>
      <c r="R71" s="150" t="str">
        <f t="shared" ca="1" si="24"/>
        <v>MASSA ÚNICA, PARA RECEBIMENTO DE PINTURA, EM ARGAMASSA TRAÇO 1:2:8, PREPARO MANUAL, APLICADA MANUALMENTE EM FACES INTERNAS DE PAREDES, ESPESSURA DE 10MM, COM EXECUÇÃO DE TALISCAS. AF_06/2014</v>
      </c>
      <c r="S71" s="151" t="str">
        <f t="shared" ca="1" si="13"/>
        <v>M2</v>
      </c>
      <c r="T71" s="152">
        <f ca="1">OFFSET(CÁLCULO!H$15,ROW($T71)-ROW(T$15),0)</f>
        <v>250</v>
      </c>
      <c r="U71" s="153">
        <v>18.11</v>
      </c>
      <c r="V71" s="154" t="s">
        <v>155</v>
      </c>
      <c r="W71" s="152">
        <f t="shared" ca="1" si="14"/>
        <v>23.06</v>
      </c>
      <c r="X71" s="155">
        <f t="shared" ca="1" si="15"/>
        <v>5765</v>
      </c>
      <c r="Y71" s="156" t="s">
        <v>244</v>
      </c>
      <c r="Z71" t="str">
        <f t="shared" ca="1" si="16"/>
        <v>RA</v>
      </c>
      <c r="AA71" s="157">
        <f ca="1">IF($C71="S",IF($Z71="CP",$X71,IF($Z71="RA",(($X71)*QCI!$AA$3),0)),SomaAgrup)</f>
        <v>5765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str">
        <f t="shared" ca="1" si="19"/>
        <v>SINAPI 87548</v>
      </c>
      <c r="AF71" s="160">
        <f t="shared" ca="1" si="20"/>
        <v>5591</v>
      </c>
      <c r="AG71" s="550">
        <f t="shared" ca="1" si="21"/>
        <v>18.11</v>
      </c>
      <c r="AH71" s="551">
        <f t="shared" ca="1" si="22"/>
        <v>0.27350000000000002</v>
      </c>
      <c r="AJ71" s="553">
        <v>250</v>
      </c>
      <c r="AL71" s="574"/>
      <c r="AM71" s="431">
        <f t="shared" ca="1" si="0"/>
        <v>5765</v>
      </c>
      <c r="AN71" s="617">
        <f t="shared" ca="1" si="23"/>
        <v>23.06</v>
      </c>
    </row>
    <row r="72" spans="1:40" ht="38.25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5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9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>F</v>
      </c>
      <c r="M72" s="145" t="s">
        <v>198</v>
      </c>
      <c r="N72" s="146" t="str">
        <f t="shared" ca="1" si="11"/>
        <v>Serviço</v>
      </c>
      <c r="O72" s="147" t="str">
        <f t="shared" ca="1" si="12"/>
        <v>5.1.9.</v>
      </c>
      <c r="P72" s="148" t="s">
        <v>246</v>
      </c>
      <c r="Q72" s="149" t="s">
        <v>516</v>
      </c>
      <c r="R72" s="150" t="str">
        <f t="shared" ca="1" si="24"/>
        <v>APLICAÇÃO MANUAL DE PINTURA COM TINTA TEXTURIZADA ACRÍLICA EM SUPERFÍCIES EXTERNAS DE SACADA DE EDIFÍCIOS DE MÚLTIPLOS PAVIMENTOS, DUAS CORES. AF_06/2014</v>
      </c>
      <c r="S72" s="151" t="str">
        <f t="shared" ca="1" si="13"/>
        <v>M2</v>
      </c>
      <c r="T72" s="152">
        <f ca="1">OFFSET(CÁLCULO!H$15,ROW($T72)-ROW(T$15),0)</f>
        <v>250</v>
      </c>
      <c r="U72" s="153">
        <v>24.22</v>
      </c>
      <c r="V72" s="154" t="s">
        <v>155</v>
      </c>
      <c r="W72" s="152">
        <f t="shared" ca="1" si="14"/>
        <v>30.84</v>
      </c>
      <c r="X72" s="155">
        <f t="shared" ca="1" si="15"/>
        <v>7710</v>
      </c>
      <c r="Y72" s="156" t="s">
        <v>244</v>
      </c>
      <c r="Z72" t="str">
        <f t="shared" ca="1" si="16"/>
        <v>RA</v>
      </c>
      <c r="AA72" s="157">
        <f ca="1">IF($C72="S",IF($Z72="CP",$X72,IF($Z72="RA",(($X72)*QCI!$AA$3),0)),SomaAgrup)</f>
        <v>7710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str">
        <f t="shared" ca="1" si="19"/>
        <v>SINAPI 88428</v>
      </c>
      <c r="AF72" s="160">
        <f t="shared" ca="1" si="20"/>
        <v>5273</v>
      </c>
      <c r="AG72" s="550">
        <f t="shared" ca="1" si="21"/>
        <v>24.22</v>
      </c>
      <c r="AH72" s="551">
        <f t="shared" ca="1" si="22"/>
        <v>0.27350000000000002</v>
      </c>
      <c r="AJ72" s="553">
        <v>250</v>
      </c>
      <c r="AL72" s="574"/>
      <c r="AM72" s="431">
        <f t="shared" ca="1" si="0"/>
        <v>7710</v>
      </c>
      <c r="AN72" s="617">
        <f t="shared" ca="1" si="23"/>
        <v>30.84</v>
      </c>
    </row>
    <row r="73" spans="1:40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5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10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>F</v>
      </c>
      <c r="M73" s="145" t="s">
        <v>198</v>
      </c>
      <c r="N73" s="146" t="str">
        <f t="shared" ca="1" si="11"/>
        <v>Serviço</v>
      </c>
      <c r="O73" s="147" t="str">
        <f t="shared" ca="1" si="12"/>
        <v>5.1.10.</v>
      </c>
      <c r="P73" s="148" t="s">
        <v>454</v>
      </c>
      <c r="Q73" s="149" t="s">
        <v>473</v>
      </c>
      <c r="R73" s="150" t="str">
        <f t="shared" ca="1" si="24"/>
        <v>REJUNTE EPOXI BRANCO</v>
      </c>
      <c r="S73" s="151" t="str">
        <f t="shared" ca="1" si="13"/>
        <v xml:space="preserve">KG    </v>
      </c>
      <c r="T73" s="152">
        <f ca="1">OFFSET(CÁLCULO!H$15,ROW($T73)-ROW(T$15),0)</f>
        <v>30</v>
      </c>
      <c r="U73" s="153">
        <v>39.869999999999997</v>
      </c>
      <c r="V73" s="154" t="s">
        <v>155</v>
      </c>
      <c r="W73" s="152">
        <f t="shared" ca="1" si="14"/>
        <v>50.77</v>
      </c>
      <c r="X73" s="155">
        <f t="shared" ca="1" si="15"/>
        <v>1523.1</v>
      </c>
      <c r="Y73" s="156" t="s">
        <v>244</v>
      </c>
      <c r="Z73" t="str">
        <f t="shared" ca="1" si="16"/>
        <v>RA</v>
      </c>
      <c r="AA73" s="157">
        <f ca="1">IF($C73="S",IF($Z73="CP",$X73,IF($Z73="RA",(($X73)*QCI!$AA$3),0)),SomaAgrup)</f>
        <v>1523.1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str">
        <f t="shared" ca="1" si="19"/>
        <v>SINAPI-I 37329</v>
      </c>
      <c r="AF73" s="160">
        <f t="shared" ca="1" si="20"/>
        <v>10485</v>
      </c>
      <c r="AG73" s="550">
        <f t="shared" ca="1" si="21"/>
        <v>39.869999999999997</v>
      </c>
      <c r="AH73" s="551">
        <f t="shared" ca="1" si="22"/>
        <v>0.27350000000000002</v>
      </c>
      <c r="AJ73" s="553">
        <v>30</v>
      </c>
      <c r="AL73" s="574"/>
      <c r="AM73" s="431">
        <f t="shared" ca="1" si="0"/>
        <v>1523.1</v>
      </c>
      <c r="AN73" s="617">
        <f t="shared" ca="1" si="23"/>
        <v>50.77</v>
      </c>
    </row>
    <row r="74" spans="1:40" ht="25.5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5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11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>F</v>
      </c>
      <c r="M74" s="145" t="s">
        <v>198</v>
      </c>
      <c r="N74" s="146" t="str">
        <f t="shared" ca="1" si="11"/>
        <v>Serviço</v>
      </c>
      <c r="O74" s="147" t="str">
        <f t="shared" ca="1" si="12"/>
        <v>5.1.11.</v>
      </c>
      <c r="P74" s="148" t="s">
        <v>458</v>
      </c>
      <c r="Q74" s="149" t="s">
        <v>492</v>
      </c>
      <c r="R74" s="150" t="str">
        <f ca="1">IF($C74="S",REFERENCIA.Descricao,"(digite a descrição aqui)")</f>
        <v>REQUADRO EM ALVENARIA ,EM ABERTURA DE PORTAS E JANELAS COM CHAPISCO E EMBOÇO</v>
      </c>
      <c r="S74" s="151" t="str">
        <f t="shared" ca="1" si="13"/>
        <v>M2</v>
      </c>
      <c r="T74" s="152">
        <f ca="1">OFFSET(CÁLCULO!H$15,ROW($T74)-ROW(T$15),0)</f>
        <v>35</v>
      </c>
      <c r="U74" s="153">
        <v>30</v>
      </c>
      <c r="V74" s="154" t="s">
        <v>155</v>
      </c>
      <c r="W74" s="152">
        <f t="shared" ca="1" si="14"/>
        <v>38.21</v>
      </c>
      <c r="X74" s="155">
        <f t="shared" ca="1" si="15"/>
        <v>1337.35</v>
      </c>
      <c r="Y74" s="156" t="s">
        <v>244</v>
      </c>
      <c r="Z74" t="str">
        <f t="shared" ca="1" si="16"/>
        <v>RA</v>
      </c>
      <c r="AA74" s="157">
        <f ca="1">IF($C74="S",IF($Z74="CP",$X74,IF($Z74="RA",(($X74)*QCI!$AA$3),0)),SomaAgrup)</f>
        <v>1337.35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str">
        <f t="shared" ca="1" si="19"/>
        <v>Cotação 004</v>
      </c>
      <c r="AF74" s="160">
        <f t="shared" ca="1" si="20"/>
        <v>21</v>
      </c>
      <c r="AG74" s="550">
        <f t="shared" ca="1" si="21"/>
        <v>30</v>
      </c>
      <c r="AH74" s="551">
        <f t="shared" ca="1" si="22"/>
        <v>0.27350000000000002</v>
      </c>
      <c r="AJ74" s="553">
        <v>35</v>
      </c>
      <c r="AL74" s="574"/>
      <c r="AM74" s="431">
        <f t="shared" ca="1" si="0"/>
        <v>1337.35</v>
      </c>
      <c r="AN74" s="617">
        <f t="shared" ca="1" si="23"/>
        <v>38.21</v>
      </c>
    </row>
    <row r="75" spans="1:40" ht="25.5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5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12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>F</v>
      </c>
      <c r="M75" s="145" t="s">
        <v>198</v>
      </c>
      <c r="N75" s="146" t="str">
        <f t="shared" ca="1" si="11"/>
        <v>Serviço</v>
      </c>
      <c r="O75" s="147" t="str">
        <f t="shared" ca="1" si="12"/>
        <v>5.1.12.</v>
      </c>
      <c r="P75" s="148" t="s">
        <v>246</v>
      </c>
      <c r="Q75" s="149" t="s">
        <v>494</v>
      </c>
      <c r="R75" s="150" t="str">
        <f t="shared" ca="1" si="24"/>
        <v>CONCRETO FCK = 20MPA, TRAÇO 1:2,7:3 (CIMENTO/ AREIA MÉDIA/ BRITA 1)  - PREPARO MECÂNICO COM BETONEIRA 400 L. AF_07/2016</v>
      </c>
      <c r="S75" s="151" t="str">
        <f t="shared" ca="1" si="13"/>
        <v>M3</v>
      </c>
      <c r="T75" s="152">
        <f ca="1">OFFSET(CÁLCULO!H$15,ROW($T75)-ROW(T$15),0)</f>
        <v>4.0999999999999996</v>
      </c>
      <c r="U75" s="153">
        <v>283.85000000000002</v>
      </c>
      <c r="V75" s="154" t="s">
        <v>155</v>
      </c>
      <c r="W75" s="152">
        <f t="shared" ca="1" si="14"/>
        <v>361.48</v>
      </c>
      <c r="X75" s="155">
        <f t="shared" ca="1" si="15"/>
        <v>1482.07</v>
      </c>
      <c r="Y75" s="156" t="s">
        <v>244</v>
      </c>
      <c r="Z75" t="str">
        <f t="shared" ca="1" si="16"/>
        <v>RA</v>
      </c>
      <c r="AA75" s="157">
        <f ca="1">IF($C75="S",IF($Z75="CP",$X75,IF($Z75="RA",(($X75)*QCI!$AA$3),0)),SomaAgrup)</f>
        <v>1482.07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str">
        <f t="shared" ca="1" si="19"/>
        <v>SINAPI 94964</v>
      </c>
      <c r="AF75" s="160">
        <f t="shared" ca="1" si="20"/>
        <v>2347</v>
      </c>
      <c r="AG75" s="550">
        <f t="shared" ca="1" si="21"/>
        <v>283.85000000000002</v>
      </c>
      <c r="AH75" s="551">
        <f t="shared" ca="1" si="22"/>
        <v>0.27350000000000002</v>
      </c>
      <c r="AJ75" s="553">
        <v>4.0999999999999996</v>
      </c>
      <c r="AL75" s="574"/>
      <c r="AM75" s="431">
        <f t="shared" ca="1" si="0"/>
        <v>1482.07</v>
      </c>
      <c r="AN75" s="617">
        <f t="shared" ca="1" si="23"/>
        <v>361.48</v>
      </c>
    </row>
    <row r="76" spans="1:40" ht="5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5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13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>F</v>
      </c>
      <c r="M76" s="145" t="s">
        <v>198</v>
      </c>
      <c r="N76" s="146" t="str">
        <f t="shared" ca="1" si="11"/>
        <v>Serviço</v>
      </c>
      <c r="O76" s="147" t="str">
        <f t="shared" ca="1" si="12"/>
        <v>5.1.13.</v>
      </c>
      <c r="P76" s="148" t="s">
        <v>246</v>
      </c>
      <c r="Q76" s="149" t="s">
        <v>495</v>
      </c>
      <c r="R76" s="150" t="str">
        <f t="shared" ca="1" si="24"/>
        <v>ARMAÇÃO DE PILAR OU VIGA DE UMA ESTRUTURA CONVENCIONAL DE CONCRETO ARMADO EM UM EDIFÍCIO DE MÚLTIPLOS PAVIMENTOS UTILIZANDO AÇO CA-50 DE 8,0 MM - MONTAGEM. AF_12/2015</v>
      </c>
      <c r="S76" s="151" t="str">
        <f t="shared" ca="1" si="13"/>
        <v>KG</v>
      </c>
      <c r="T76" s="152">
        <f ca="1">OFFSET(CÁLCULO!H$15,ROW($T76)-ROW(T$15),0)</f>
        <v>239.59</v>
      </c>
      <c r="U76" s="153">
        <v>8.86</v>
      </c>
      <c r="V76" s="154" t="s">
        <v>155</v>
      </c>
      <c r="W76" s="152">
        <f t="shared" ca="1" si="14"/>
        <v>11.28</v>
      </c>
      <c r="X76" s="155">
        <f t="shared" ca="1" si="15"/>
        <v>2702.58</v>
      </c>
      <c r="Y76" s="156" t="s">
        <v>244</v>
      </c>
      <c r="Z76" t="str">
        <f t="shared" ca="1" si="16"/>
        <v>RA</v>
      </c>
      <c r="AA76" s="157">
        <f ca="1">IF($C76="S",IF($Z76="CP",$X76,IF($Z76="RA",(($X76)*QCI!$AA$3),0)),SomaAgrup)</f>
        <v>2702.58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str">
        <f t="shared" ca="1" si="19"/>
        <v>SINAPI 92761</v>
      </c>
      <c r="AF76" s="160">
        <f t="shared" ca="1" si="20"/>
        <v>2198</v>
      </c>
      <c r="AG76" s="550">
        <f t="shared" ca="1" si="21"/>
        <v>8.86</v>
      </c>
      <c r="AH76" s="551">
        <f t="shared" ca="1" si="22"/>
        <v>0.27350000000000002</v>
      </c>
      <c r="AJ76" s="553">
        <v>239.59</v>
      </c>
      <c r="AL76" s="574"/>
      <c r="AM76" s="431">
        <f t="shared" ca="1" si="0"/>
        <v>2702.58</v>
      </c>
      <c r="AN76" s="617">
        <f t="shared" ca="1" si="23"/>
        <v>11.28</v>
      </c>
    </row>
    <row r="77" spans="1:40" ht="38.2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5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14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>F</v>
      </c>
      <c r="M77" s="145" t="s">
        <v>198</v>
      </c>
      <c r="N77" s="146" t="str">
        <f t="shared" ca="1" si="11"/>
        <v>Serviço</v>
      </c>
      <c r="O77" s="147" t="str">
        <f t="shared" ca="1" si="12"/>
        <v>5.1.14.</v>
      </c>
      <c r="P77" s="148" t="s">
        <v>246</v>
      </c>
      <c r="Q77" s="149" t="s">
        <v>496</v>
      </c>
      <c r="R77" s="150" t="str">
        <f t="shared" ca="1" si="24"/>
        <v>ARMAÇÃO DE LAJE DE UMA ESTRUTURA CONVENCIONAL DE CONCRETO ARMADO EM UM EDIFÍCIO DE MÚLTIPLOS PAVIMENTOS UTILIZANDO AÇO CA-60 DE 5,0 MM - MONTAGEM. AF_12/2015</v>
      </c>
      <c r="S77" s="151" t="str">
        <f t="shared" ca="1" si="13"/>
        <v>KG</v>
      </c>
      <c r="T77" s="152">
        <f ca="1">OFFSET(CÁLCULO!H$15,ROW($T77)-ROW(T$15),0)</f>
        <v>111.65</v>
      </c>
      <c r="U77" s="153">
        <v>9.09</v>
      </c>
      <c r="V77" s="154" t="s">
        <v>155</v>
      </c>
      <c r="W77" s="152">
        <f t="shared" ca="1" si="14"/>
        <v>11.58</v>
      </c>
      <c r="X77" s="155">
        <f t="shared" ca="1" si="15"/>
        <v>1292.9100000000001</v>
      </c>
      <c r="Y77" s="156" t="s">
        <v>244</v>
      </c>
      <c r="Z77" t="str">
        <f t="shared" ca="1" si="16"/>
        <v>RA</v>
      </c>
      <c r="AA77" s="157">
        <f ca="1">IF($C77="S",IF($Z77="CP",$X77,IF($Z77="RA",(($X77)*QCI!$AA$3),0)),SomaAgrup)</f>
        <v>1292.9100000000001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str">
        <f t="shared" ca="1" si="19"/>
        <v>SINAPI 92768</v>
      </c>
      <c r="AF77" s="160">
        <f t="shared" ca="1" si="20"/>
        <v>2205</v>
      </c>
      <c r="AG77" s="550">
        <f t="shared" ca="1" si="21"/>
        <v>9.09</v>
      </c>
      <c r="AH77" s="551">
        <f t="shared" ca="1" si="22"/>
        <v>0.27350000000000002</v>
      </c>
      <c r="AJ77" s="553">
        <v>111.65</v>
      </c>
      <c r="AL77" s="574"/>
      <c r="AM77" s="431">
        <f t="shared" ca="1" si="0"/>
        <v>1292.9100000000001</v>
      </c>
      <c r="AN77" s="617">
        <f t="shared" ca="1" si="23"/>
        <v>11.58</v>
      </c>
    </row>
    <row r="78" spans="1:40" ht="38.25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5</v>
      </c>
      <c r="F78">
        <f t="shared" ca="1" si="5"/>
        <v>1</v>
      </c>
      <c r="G78">
        <f t="shared" ca="1" si="6"/>
        <v>0</v>
      </c>
      <c r="H78">
        <f t="shared" ca="1" si="7"/>
        <v>0</v>
      </c>
      <c r="I78">
        <f t="shared" ca="1" si="8"/>
        <v>15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>F</v>
      </c>
      <c r="M78" s="145" t="s">
        <v>198</v>
      </c>
      <c r="N78" s="146" t="str">
        <f t="shared" ca="1" si="11"/>
        <v>Serviço</v>
      </c>
      <c r="O78" s="147" t="str">
        <f t="shared" ca="1" si="12"/>
        <v>5.1.15.</v>
      </c>
      <c r="P78" s="148" t="s">
        <v>246</v>
      </c>
      <c r="Q78" s="149" t="s">
        <v>497</v>
      </c>
      <c r="R78" s="150" t="str">
        <f t="shared" ca="1" si="24"/>
        <v>ESTACA BROCA DE CONCRETO, DIÃMETRO DE 25 CM, PROFUNDIDADE DE ATÉ 3 M, ESCAVAÇÃO MANUAL COM TRADO CONCHA, NÃO ARMADA. AF_03/2018</v>
      </c>
      <c r="S78" s="151" t="str">
        <f t="shared" ca="1" si="13"/>
        <v>M</v>
      </c>
      <c r="T78" s="152">
        <f ca="1">OFFSET(CÁLCULO!H$15,ROW($T78)-ROW(T$15),0)</f>
        <v>45.5</v>
      </c>
      <c r="U78" s="153">
        <v>66.55</v>
      </c>
      <c r="V78" s="154" t="s">
        <v>155</v>
      </c>
      <c r="W78" s="152">
        <f t="shared" ca="1" si="14"/>
        <v>84.75</v>
      </c>
      <c r="X78" s="155">
        <f t="shared" ca="1" si="15"/>
        <v>3856.13</v>
      </c>
      <c r="Y78" s="156" t="s">
        <v>244</v>
      </c>
      <c r="Z78" t="str">
        <f t="shared" ca="1" si="16"/>
        <v>RA</v>
      </c>
      <c r="AA78" s="157">
        <f ca="1">IF($C78="S",IF($Z78="CP",$X78,IF($Z78="RA",(($X78)*QCI!$AA$3),0)),SomaAgrup)</f>
        <v>3856.13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str">
        <f t="shared" ca="1" si="19"/>
        <v>SINAPI 98229</v>
      </c>
      <c r="AF78" s="160">
        <f t="shared" ca="1" si="20"/>
        <v>1975</v>
      </c>
      <c r="AG78" s="550">
        <f t="shared" ca="1" si="21"/>
        <v>66.55</v>
      </c>
      <c r="AH78" s="551">
        <f t="shared" ca="1" si="22"/>
        <v>0.27350000000000002</v>
      </c>
      <c r="AJ78" s="553">
        <v>45.5</v>
      </c>
      <c r="AL78" s="574"/>
      <c r="AM78" s="431">
        <f ca="1">$X78</f>
        <v>3856.13</v>
      </c>
      <c r="AN78" s="617">
        <f t="shared" ca="1" si="23"/>
        <v>84.75</v>
      </c>
    </row>
    <row r="79" spans="1:40" ht="25.5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5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16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>F</v>
      </c>
      <c r="M79" s="145" t="s">
        <v>198</v>
      </c>
      <c r="N79" s="146" t="str">
        <f t="shared" ca="1" si="11"/>
        <v>Serviço</v>
      </c>
      <c r="O79" s="147" t="str">
        <f t="shared" ca="1" si="12"/>
        <v>5.1.16.</v>
      </c>
      <c r="P79" s="148" t="s">
        <v>454</v>
      </c>
      <c r="Q79" s="149" t="s">
        <v>498</v>
      </c>
      <c r="R79" s="150" t="str">
        <f t="shared" ca="1" si="24"/>
        <v>CHAPA DE MADEIRA COMPENSADA RESINADA PARA FORMA DE CONCRETO, DE *2,2 X 1,1* M, E = 17 MM</v>
      </c>
      <c r="S79" s="151" t="str">
        <f t="shared" ca="1" si="13"/>
        <v xml:space="preserve">M2    </v>
      </c>
      <c r="T79" s="152">
        <f ca="1">OFFSET(CÁLCULO!H$15,ROW($T79)-ROW(T$15),0)</f>
        <v>82.8</v>
      </c>
      <c r="U79" s="153">
        <v>22.65</v>
      </c>
      <c r="V79" s="154" t="s">
        <v>155</v>
      </c>
      <c r="W79" s="152">
        <f t="shared" ca="1" si="14"/>
        <v>28.84</v>
      </c>
      <c r="X79" s="155">
        <f t="shared" ca="1" si="15"/>
        <v>2387.9499999999998</v>
      </c>
      <c r="Y79" s="156" t="s">
        <v>244</v>
      </c>
      <c r="Z79" t="str">
        <f t="shared" ca="1" si="16"/>
        <v>RA</v>
      </c>
      <c r="AA79" s="157">
        <f ca="1">IF($C79="S",IF($Z79="CP",$X79,IF($Z79="RA",(($X79)*QCI!$AA$3),0)),SomaAgrup)</f>
        <v>2387.9499999999998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str">
        <f t="shared" ca="1" si="19"/>
        <v>SINAPI-I 1358</v>
      </c>
      <c r="AF79" s="160">
        <f t="shared" ca="1" si="20"/>
        <v>7667</v>
      </c>
      <c r="AG79" s="550">
        <f t="shared" ca="1" si="21"/>
        <v>22.65</v>
      </c>
      <c r="AH79" s="551">
        <f t="shared" ca="1" si="22"/>
        <v>0.27350000000000002</v>
      </c>
      <c r="AJ79" s="553">
        <v>82.8</v>
      </c>
      <c r="AL79" s="574"/>
      <c r="AM79" s="431">
        <f t="shared" ca="1" si="0"/>
        <v>2387.9499999999998</v>
      </c>
      <c r="AN79" s="617">
        <f t="shared" ca="1" si="23"/>
        <v>28.84</v>
      </c>
    </row>
    <row r="80" spans="1:40" ht="38.2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5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17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>F</v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5.1.17.</v>
      </c>
      <c r="P80" s="148" t="s">
        <v>458</v>
      </c>
      <c r="Q80" s="149" t="s">
        <v>515</v>
      </c>
      <c r="R80" s="150" t="str">
        <f t="shared" ref="R80:R143" ca="1" si="37">IF($C80="S",REFERENCIA.Descricao,"(digite a descrição aqui)")</f>
        <v>REPARO DE COLUNAS DE ESTRUTURA DE CONCRETO E TRATAMENTO DE JUNTA DE DILATAÇÃO COM PERFIL EM ALUMINIO L:8CM E e:2MM</v>
      </c>
      <c r="S80" s="151" t="str">
        <f t="shared" ref="S80:S143" ca="1" si="38">REFERENCIA.Unidade</f>
        <v>UNIDADE</v>
      </c>
      <c r="T80" s="152">
        <f ca="1">OFFSET(CÁLCULO!H$15,ROW($T80)-ROW(T$15),0)</f>
        <v>1</v>
      </c>
      <c r="U80" s="153">
        <v>750</v>
      </c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955.13</v>
      </c>
      <c r="X80" s="155">
        <f t="shared" ref="X80:X143" ca="1" si="40">IF($C80="S",VTOTAL1,IF($C80=0,0,ROUND(SomaAgrup,15-13*$AF$11)))</f>
        <v>955.13</v>
      </c>
      <c r="Y80" s="156" t="s">
        <v>244</v>
      </c>
      <c r="Z80" t="str">
        <f t="shared" ref="Z80:Z143" ca="1" si="41">IF(AND($C80="S",$X80&gt;0),IF(ISBLANK($Y80),"RA",LEFT($Y80,2)),"")</f>
        <v>RA</v>
      </c>
      <c r="AA80" s="157">
        <f ca="1">IF($C80="S",IF($Z80="CP",$X80,IF($Z80="RA",(($X80)*QCI!$AA$3),0)),SomaAgrup)</f>
        <v>955.13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str">
        <f t="shared" ref="AE80:AE143" ca="1" si="44">IF(AND($C80="S",ORÇAMENTO.CodBarra&lt;&gt;""),IF(ORÇAMENTO.Fonte="",ORÇAMENTO.CodBarra,CONCATENATE(ORÇAMENTO.Fonte," ",ORÇAMENTO.CodBarra)))</f>
        <v>Cotação 010</v>
      </c>
      <c r="AF80" s="160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27</v>
      </c>
      <c r="AG80" s="550">
        <f t="shared" ref="AG80:AG143" ca="1" si="46">ROUND(IF(DESONERACAO="sim",REFERENCIA.Desonerado,REFERENCIA.NaoDesonerado),2)</f>
        <v>750</v>
      </c>
      <c r="AH80" s="551">
        <f t="shared" ref="AH80:AH143" ca="1" si="47">ROUND(IF(ISNUMBER(ORÇAMENTO.OpcaoBDI),ORÇAMENTO.OpcaoBDI,IF(LEFT(ORÇAMENTO.OpcaoBDI,3)="BDI",HLOOKUP(ORÇAMENTO.OpcaoBDI,$F$4:$H$5,2,FALSE),0)),15-11*$AF$9)</f>
        <v>0.27350000000000002</v>
      </c>
      <c r="AJ80" s="553">
        <v>1</v>
      </c>
      <c r="AL80" s="574"/>
      <c r="AM80" s="431">
        <f t="shared" ref="AM80:AM143" ca="1" si="48">$X80</f>
        <v>955.13</v>
      </c>
      <c r="AN80" s="617">
        <f t="shared" ref="AN80:AN143" ca="1" si="49">ROUND(ORÇAMENTO.CustoUnitario*(1+$AH80),2)</f>
        <v>955.13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5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17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0.27350000000000002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5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17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0.27350000000000002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5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17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0.27350000000000002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5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17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0.27350000000000002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5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17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0.27350000000000002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5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17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0.27350000000000002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5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17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0.27350000000000002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5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17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0.27350000000000002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5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17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0.27350000000000002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5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17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0.27350000000000002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5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17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0.27350000000000002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5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17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0.27350000000000002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5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17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0.27350000000000002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5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17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0.27350000000000002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5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17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0.27350000000000002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5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17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0.27350000000000002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5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17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0.27350000000000002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5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17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0.27350000000000002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5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17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0.27350000000000002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5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17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0.27350000000000002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5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17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0.27350000000000002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5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17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0.27350000000000002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5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17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0.27350000000000002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5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17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0.27350000000000002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5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17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0.27350000000000002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5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17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0.27350000000000002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5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17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0.27350000000000002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5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17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0.27350000000000002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5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17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0.27350000000000002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5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17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0.27350000000000002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5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17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0.27350000000000002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5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17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0.27350000000000002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5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17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0.27350000000000002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5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17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0.27350000000000002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5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17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0.27350000000000002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5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17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0.27350000000000002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5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17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0.27350000000000002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5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17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0.27350000000000002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5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17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0.27350000000000002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5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17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0.27350000000000002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5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17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0.27350000000000002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5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17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0.27350000000000002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5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17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0.27350000000000002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5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17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0.27350000000000002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5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17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0.27350000000000002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5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17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0.27350000000000002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5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17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0.27350000000000002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5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17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0.27350000000000002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5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17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0.27350000000000002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5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17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0.27350000000000002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5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17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0.27350000000000002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5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17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0.27350000000000002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5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17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0.27350000000000002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5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17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0.27350000000000002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5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17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0.27350000000000002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5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17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0.27350000000000002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5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17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0.27350000000000002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5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17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0.27350000000000002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5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17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0.27350000000000002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5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17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0.27350000000000002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5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17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0.27350000000000002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5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17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0.27350000000000002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5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17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0.27350000000000002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5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17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5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17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0.27350000000000002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5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17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0.27350000000000002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5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17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0.27350000000000002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5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17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0.27350000000000002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5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17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0.27350000000000002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5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17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0.27350000000000002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5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17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0.27350000000000002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x14ac:dyDescent="0.2">
      <c r="A152">
        <f t="shared" si="50"/>
        <v>1</v>
      </c>
      <c r="B152">
        <f t="shared" ca="1" si="51"/>
        <v>1</v>
      </c>
      <c r="C152">
        <f t="shared" ca="1" si="52"/>
        <v>1</v>
      </c>
      <c r="D152">
        <f t="shared" ca="1" si="53"/>
        <v>16</v>
      </c>
      <c r="E152">
        <f ca="1">IF($C152=1,OFFSET(E152,-1,0)+MAX(1,COUNTIF(QCI!$A$13:$A$24,OFFSET(ORÇAMENTO!E152,-1,0))),OFFSET(E152,-1,0))</f>
        <v>6</v>
      </c>
      <c r="F152">
        <f t="shared" ca="1" si="54"/>
        <v>0</v>
      </c>
      <c r="G152">
        <f t="shared" ca="1" si="55"/>
        <v>0</v>
      </c>
      <c r="H152">
        <f t="shared" ca="1" si="56"/>
        <v>0</v>
      </c>
      <c r="I152">
        <f t="shared" ca="1" si="57"/>
        <v>0</v>
      </c>
      <c r="J152">
        <f t="shared" ca="1" si="58"/>
        <v>114</v>
      </c>
      <c r="K152">
        <f ca="1">IF(OR($C152="S",$C152=0),0,MATCH(OFFSET($D152,0,$C152)+IF($C152&lt;&gt;1,1,COUNTIF(QCI!$A$13:$A$24,ORÇAMENTO!E152)),OFFSET($D152,1,$C152,ROW($C$266)-ROW($C152)),0))</f>
        <v>16</v>
      </c>
      <c r="L152" s="144" t="str">
        <f t="shared" ca="1" si="59"/>
        <v>F</v>
      </c>
      <c r="M152" s="145" t="s">
        <v>194</v>
      </c>
      <c r="N152" s="146" t="str">
        <f t="shared" ca="1" si="60"/>
        <v>Meta</v>
      </c>
      <c r="O152" s="147" t="str">
        <f t="shared" ca="1" si="61"/>
        <v>6.</v>
      </c>
      <c r="P152" s="148" t="s">
        <v>246</v>
      </c>
      <c r="Q152" s="149"/>
      <c r="R152" s="150" t="str">
        <f ca="1">IF($C152="S",REFERENCIA.Descricao,"coberturas")</f>
        <v>coberturas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15387.3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15387.3</v>
      </c>
      <c r="AB152" s="158">
        <f t="shared" ca="1" si="67"/>
        <v>0</v>
      </c>
      <c r="AC152" s="159" t="str">
        <f t="shared" ca="1" si="68"/>
        <v/>
      </c>
      <c r="AD152" s="105">
        <f ca="1">IF(C152&lt;=CRONO.NivelExibicao,MAX($AD$15:OFFSET(AD152,-1,0))+IF($C152&lt;&gt;1,1,MAX(1,COUNTIF(QCI!$A$13:$A$24,OFFSET($E152,-1,0)))),"")</f>
        <v>11</v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0.27350000000000002</v>
      </c>
      <c r="AJ152" s="553"/>
      <c r="AL152" s="574"/>
      <c r="AM152" s="431">
        <f t="shared" ca="1" si="73"/>
        <v>15387.3</v>
      </c>
      <c r="AN152" s="617">
        <f t="shared" ca="1" si="74"/>
        <v>0</v>
      </c>
    </row>
    <row r="153" spans="1:40" x14ac:dyDescent="0.2">
      <c r="A153" t="str">
        <f t="shared" si="50"/>
        <v>S</v>
      </c>
      <c r="B153">
        <f t="shared" ca="1" si="51"/>
        <v>2</v>
      </c>
      <c r="C153">
        <f t="shared" ca="1" si="52"/>
        <v>2</v>
      </c>
      <c r="D153">
        <f t="shared" ca="1" si="53"/>
        <v>15</v>
      </c>
      <c r="E153">
        <f ca="1">IF($C153=1,OFFSET(E153,-1,0)+MAX(1,COUNTIF(QCI!$A$13:$A$24,OFFSET(ORÇAMENTO!E153,-1,0))),OFFSET(E153,-1,0))</f>
        <v>6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0</v>
      </c>
      <c r="J153">
        <f t="shared" ca="1" si="58"/>
        <v>15</v>
      </c>
      <c r="K153" t="e">
        <f ca="1">IF(OR($C153="S",$C153=0),0,MATCH(OFFSET($D153,0,$C153)+IF($C153&lt;&gt;1,1,COUNTIF(QCI!$A$13:$A$24,ORÇAMENTO!E153)),OFFSET($D153,1,$C153,ROW($C$266)-ROW($C153)),0))</f>
        <v>#N/A</v>
      </c>
      <c r="L153" s="144" t="str">
        <f t="shared" ca="1" si="59"/>
        <v>F</v>
      </c>
      <c r="M153" s="145" t="s">
        <v>198</v>
      </c>
      <c r="N153" s="146" t="str">
        <f t="shared" ca="1" si="60"/>
        <v>Nível 2</v>
      </c>
      <c r="O153" s="147" t="str">
        <f t="shared" ca="1" si="61"/>
        <v>6.1.</v>
      </c>
      <c r="P153" s="148" t="s">
        <v>246</v>
      </c>
      <c r="Q153" s="149"/>
      <c r="R153" s="150" t="str">
        <f t="shared" ca="1" si="62"/>
        <v>(digite a descrição aqui)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15387.3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15387.3</v>
      </c>
      <c r="AB153" s="158">
        <f t="shared" ca="1" si="67"/>
        <v>0</v>
      </c>
      <c r="AC153" s="159" t="str">
        <f t="shared" ca="1" si="68"/>
        <v/>
      </c>
      <c r="AD153" s="105">
        <f ca="1">IF(C153&lt;=CRONO.NivelExibicao,MAX($AD$15:OFFSET(AD153,-1,0))+IF($C153&lt;&gt;1,1,MAX(1,COUNTIF(QCI!$A$13:$A$24,OFFSET($E153,-1,0)))),"")</f>
        <v>12</v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0.27350000000000002</v>
      </c>
      <c r="AJ153" s="553"/>
      <c r="AL153" s="574"/>
      <c r="AM153" s="431">
        <f t="shared" ca="1" si="73"/>
        <v>15387.3</v>
      </c>
      <c r="AN153" s="617">
        <f t="shared" ca="1" si="74"/>
        <v>0</v>
      </c>
    </row>
    <row r="154" spans="1:40" ht="38.25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6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>F</v>
      </c>
      <c r="M154" s="145" t="s">
        <v>198</v>
      </c>
      <c r="N154" s="146" t="str">
        <f t="shared" ca="1" si="60"/>
        <v>Serviço</v>
      </c>
      <c r="O154" s="147" t="str">
        <f t="shared" ca="1" si="61"/>
        <v>6.1.1.</v>
      </c>
      <c r="P154" s="148" t="s">
        <v>246</v>
      </c>
      <c r="Q154" s="149" t="s">
        <v>453</v>
      </c>
      <c r="R154" s="150" t="str">
        <f t="shared" ca="1" si="62"/>
        <v>FABRICAÇÃO E INSTALAÇÃO DE TESOURA INTEIRA EM AÇO, VÃO DE 3 M, PARA TELHA CERÂMICA OU DE CONCRETO, INCLUSO IÇAMENTO. AF_12/2015</v>
      </c>
      <c r="S154" s="151" t="str">
        <f t="shared" ca="1" si="63"/>
        <v>UN</v>
      </c>
      <c r="T154" s="152">
        <f ca="1">OFFSET(CÁLCULO!H$15,ROW($T154)-ROW(T$15),0)</f>
        <v>5</v>
      </c>
      <c r="U154" s="153">
        <v>516.59</v>
      </c>
      <c r="V154" s="154" t="s">
        <v>155</v>
      </c>
      <c r="W154" s="152">
        <f t="shared" ca="1" si="64"/>
        <v>657.88</v>
      </c>
      <c r="X154" s="155">
        <f t="shared" ca="1" si="65"/>
        <v>3289.4</v>
      </c>
      <c r="Y154" s="156" t="s">
        <v>244</v>
      </c>
      <c r="Z154" t="str">
        <f t="shared" ca="1" si="66"/>
        <v>RA</v>
      </c>
      <c r="AA154" s="157">
        <f ca="1">IF($C154="S",IF($Z154="CP",$X154,IF($Z154="RA",(($X154)*QCI!$AA$3),0)),SomaAgrup)</f>
        <v>3289.4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str">
        <f t="shared" ca="1" si="69"/>
        <v>SINAPI 92582</v>
      </c>
      <c r="AF154" s="160">
        <f t="shared" ca="1" si="70"/>
        <v>1296</v>
      </c>
      <c r="AG154" s="550">
        <f t="shared" ca="1" si="71"/>
        <v>516.59</v>
      </c>
      <c r="AH154" s="551">
        <f t="shared" ca="1" si="72"/>
        <v>0.27350000000000002</v>
      </c>
      <c r="AJ154" s="553">
        <v>5</v>
      </c>
      <c r="AL154" s="574"/>
      <c r="AM154" s="431">
        <f t="shared" ca="1" si="73"/>
        <v>3289.4</v>
      </c>
      <c r="AN154" s="617">
        <f t="shared" ca="1" si="74"/>
        <v>657.88</v>
      </c>
    </row>
    <row r="155" spans="1:40" ht="5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6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2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>F</v>
      </c>
      <c r="M155" s="145" t="s">
        <v>198</v>
      </c>
      <c r="N155" s="146" t="str">
        <f t="shared" ca="1" si="60"/>
        <v>Serviço</v>
      </c>
      <c r="O155" s="147" t="str">
        <f t="shared" ca="1" si="61"/>
        <v>6.1.2.</v>
      </c>
      <c r="P155" s="148" t="s">
        <v>246</v>
      </c>
      <c r="Q155" s="149" t="s">
        <v>456</v>
      </c>
      <c r="R155" s="150" t="str">
        <f t="shared" ca="1" si="62"/>
        <v>TELHAMENTO COM TELHA ONDULADA DE FIBROCIMENTO E = 6 MM, COM RECOBRIMENTO LATERAL DE 1 1/4 DE ONDA PARA TELHADO COM INCLINAÇÃO MÁXIMA DE 10°, COM ATÉ 2 ÁGUAS, INCLUSO IÇAMENTO. AF_06/2016</v>
      </c>
      <c r="S155" s="151" t="str">
        <f t="shared" ca="1" si="63"/>
        <v>M2</v>
      </c>
      <c r="T155" s="152">
        <f ca="1">OFFSET(CÁLCULO!H$15,ROW($T155)-ROW(T$15),0)</f>
        <v>52.2</v>
      </c>
      <c r="U155" s="153">
        <v>33.67</v>
      </c>
      <c r="V155" s="154" t="s">
        <v>155</v>
      </c>
      <c r="W155" s="152">
        <f t="shared" ca="1" si="64"/>
        <v>42.88</v>
      </c>
      <c r="X155" s="155">
        <f t="shared" ca="1" si="65"/>
        <v>2238.34</v>
      </c>
      <c r="Y155" s="156" t="s">
        <v>244</v>
      </c>
      <c r="Z155" t="str">
        <f t="shared" ca="1" si="66"/>
        <v>RA</v>
      </c>
      <c r="AA155" s="157">
        <f ca="1">IF($C155="S",IF($Z155="CP",$X155,IF($Z155="RA",(($X155)*QCI!$AA$3),0)),SomaAgrup)</f>
        <v>2238.34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str">
        <f t="shared" ca="1" si="69"/>
        <v>SINAPI 94210</v>
      </c>
      <c r="AF155" s="160">
        <f t="shared" ca="1" si="70"/>
        <v>1247</v>
      </c>
      <c r="AG155" s="550">
        <f t="shared" ca="1" si="71"/>
        <v>33.67</v>
      </c>
      <c r="AH155" s="551">
        <f t="shared" ca="1" si="72"/>
        <v>0.27350000000000002</v>
      </c>
      <c r="AJ155" s="553">
        <v>52.2</v>
      </c>
      <c r="AL155" s="574"/>
      <c r="AM155" s="431">
        <f t="shared" ca="1" si="73"/>
        <v>2238.34</v>
      </c>
      <c r="AN155" s="617">
        <f t="shared" ca="1" si="74"/>
        <v>42.88</v>
      </c>
    </row>
    <row r="156" spans="1:40" ht="25.5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6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3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>F</v>
      </c>
      <c r="M156" s="145" t="s">
        <v>198</v>
      </c>
      <c r="N156" s="146" t="str">
        <f t="shared" ca="1" si="60"/>
        <v>Serviço</v>
      </c>
      <c r="O156" s="147" t="str">
        <f t="shared" ca="1" si="61"/>
        <v>6.1.3.</v>
      </c>
      <c r="P156" s="148" t="s">
        <v>454</v>
      </c>
      <c r="Q156" s="149" t="s">
        <v>455</v>
      </c>
      <c r="R156" s="150" t="str">
        <f t="shared" ca="1" si="62"/>
        <v>FORRO DE PVC LISO, BRANCO, REGUA DE 10 CM, ESPESSURA DE 8 MM A 10 MM (COM COLOCACAO / SEM ESTRUTURA METALICA)</v>
      </c>
      <c r="S156" s="151" t="str">
        <f t="shared" ca="1" si="63"/>
        <v xml:space="preserve">M2    </v>
      </c>
      <c r="T156" s="152">
        <f ca="1">OFFSET(CÁLCULO!H$15,ROW($T156)-ROW(T$15),0)</f>
        <v>52.2</v>
      </c>
      <c r="U156" s="153">
        <v>40.94</v>
      </c>
      <c r="V156" s="154" t="s">
        <v>155</v>
      </c>
      <c r="W156" s="152">
        <f t="shared" ca="1" si="64"/>
        <v>52.14</v>
      </c>
      <c r="X156" s="155">
        <f t="shared" ca="1" si="65"/>
        <v>2721.71</v>
      </c>
      <c r="Y156" s="156" t="s">
        <v>244</v>
      </c>
      <c r="Z156" t="str">
        <f t="shared" ca="1" si="66"/>
        <v>RA</v>
      </c>
      <c r="AA156" s="157">
        <f ca="1">IF($C156="S",IF($Z156="CP",$X156,IF($Z156="RA",(($X156)*QCI!$AA$3),0)),SomaAgrup)</f>
        <v>2721.71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str">
        <f t="shared" ca="1" si="69"/>
        <v>SINAPI-I 11587</v>
      </c>
      <c r="AF156" s="160">
        <f t="shared" ca="1" si="70"/>
        <v>8723</v>
      </c>
      <c r="AG156" s="550">
        <f t="shared" ca="1" si="71"/>
        <v>40.94</v>
      </c>
      <c r="AH156" s="551">
        <f t="shared" ca="1" si="72"/>
        <v>0.27350000000000002</v>
      </c>
      <c r="AJ156" s="553">
        <v>52.2</v>
      </c>
      <c r="AL156" s="574"/>
      <c r="AM156" s="431">
        <f t="shared" ca="1" si="73"/>
        <v>2721.71</v>
      </c>
      <c r="AN156" s="617">
        <f t="shared" ca="1" si="74"/>
        <v>52.14</v>
      </c>
    </row>
    <row r="157" spans="1:40" ht="25.5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6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4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>F</v>
      </c>
      <c r="M157" s="145" t="s">
        <v>198</v>
      </c>
      <c r="N157" s="146" t="str">
        <f t="shared" ca="1" si="60"/>
        <v>Serviço</v>
      </c>
      <c r="O157" s="147" t="str">
        <f t="shared" ca="1" si="61"/>
        <v>6.1.4.</v>
      </c>
      <c r="P157" s="148" t="s">
        <v>458</v>
      </c>
      <c r="Q157" s="149" t="s">
        <v>457</v>
      </c>
      <c r="R157" s="150" t="str">
        <f t="shared" ca="1" si="62"/>
        <v>COBERTURA EM ESTRUTURA METALICA E COBRIMENTO EM POLICARBONATO, COM VENEZIANAS NAS LATERAIS</v>
      </c>
      <c r="S157" s="151" t="s">
        <v>459</v>
      </c>
      <c r="T157" s="152">
        <f ca="1">OFFSET(CÁLCULO!H$15,ROW($T157)-ROW(T$15),0)</f>
        <v>22</v>
      </c>
      <c r="U157" s="153">
        <v>200</v>
      </c>
      <c r="V157" s="154" t="s">
        <v>155</v>
      </c>
      <c r="W157" s="152">
        <f t="shared" ca="1" si="64"/>
        <v>254.7</v>
      </c>
      <c r="X157" s="155">
        <f t="shared" ca="1" si="65"/>
        <v>5603.4</v>
      </c>
      <c r="Y157" s="156" t="s">
        <v>244</v>
      </c>
      <c r="Z157" t="str">
        <f t="shared" ca="1" si="66"/>
        <v>RA</v>
      </c>
      <c r="AA157" s="157">
        <f ca="1">IF($C157="S",IF($Z157="CP",$X157,IF($Z157="RA",(($X157)*QCI!$AA$3),0)),SomaAgrup)</f>
        <v>5603.4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str">
        <f t="shared" ca="1" si="69"/>
        <v>Cotação 011</v>
      </c>
      <c r="AF157" s="160">
        <f t="shared" ca="1" si="70"/>
        <v>28</v>
      </c>
      <c r="AG157" s="550">
        <f t="shared" ca="1" si="71"/>
        <v>200</v>
      </c>
      <c r="AH157" s="551">
        <f t="shared" ca="1" si="72"/>
        <v>0.27350000000000002</v>
      </c>
      <c r="AJ157" s="553">
        <v>22</v>
      </c>
      <c r="AL157" s="574"/>
      <c r="AM157" s="431">
        <f t="shared" ca="1" si="73"/>
        <v>5603.4</v>
      </c>
      <c r="AN157" s="617">
        <f t="shared" ca="1" si="74"/>
        <v>254.7</v>
      </c>
    </row>
    <row r="158" spans="1:40" ht="25.5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6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5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>F</v>
      </c>
      <c r="M158" s="145" t="s">
        <v>198</v>
      </c>
      <c r="N158" s="146" t="str">
        <f t="shared" ca="1" si="60"/>
        <v>Serviço</v>
      </c>
      <c r="O158" s="147" t="str">
        <f t="shared" ca="1" si="61"/>
        <v>6.1.5.</v>
      </c>
      <c r="P158" s="148" t="s">
        <v>454</v>
      </c>
      <c r="Q158" s="149" t="s">
        <v>466</v>
      </c>
      <c r="R158" s="150" t="str">
        <f t="shared" ca="1" si="62"/>
        <v>RUFO INTERNO/EXTERNO DE CHAPA DE ACO GALVANIZADA NUM 24, CORTE 25 CM (COLETADO CAIXA)</v>
      </c>
      <c r="S158" s="151" t="str">
        <f t="shared" ca="1" si="63"/>
        <v xml:space="preserve">M     </v>
      </c>
      <c r="T158" s="152">
        <f ca="1">OFFSET(CÁLCULO!H$15,ROW($T158)-ROW(T$15),0)</f>
        <v>22</v>
      </c>
      <c r="U158" s="153">
        <v>17.09</v>
      </c>
      <c r="V158" s="154" t="s">
        <v>155</v>
      </c>
      <c r="W158" s="152">
        <f t="shared" ca="1" si="64"/>
        <v>21.76</v>
      </c>
      <c r="X158" s="155">
        <f t="shared" ca="1" si="65"/>
        <v>478.72</v>
      </c>
      <c r="Y158" s="156" t="s">
        <v>244</v>
      </c>
      <c r="Z158" t="str">
        <f t="shared" ca="1" si="66"/>
        <v>RA</v>
      </c>
      <c r="AA158" s="157">
        <f ca="1">IF($C158="S",IF($Z158="CP",$X158,IF($Z158="RA",(($X158)*QCI!$AA$3),0)),SomaAgrup)</f>
        <v>478.72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str">
        <f t="shared" ca="1" si="69"/>
        <v>SINAPI-I 40872</v>
      </c>
      <c r="AF158" s="160">
        <f t="shared" ca="1" si="70"/>
        <v>10544</v>
      </c>
      <c r="AG158" s="550">
        <f t="shared" ca="1" si="71"/>
        <v>17.09</v>
      </c>
      <c r="AH158" s="551">
        <f t="shared" ca="1" si="72"/>
        <v>0.27350000000000002</v>
      </c>
      <c r="AJ158" s="553">
        <v>22</v>
      </c>
      <c r="AL158" s="574"/>
      <c r="AM158" s="431">
        <f t="shared" ca="1" si="73"/>
        <v>478.72</v>
      </c>
      <c r="AN158" s="617">
        <f t="shared" ca="1" si="74"/>
        <v>21.76</v>
      </c>
    </row>
    <row r="159" spans="1:40" ht="25.5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6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6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>F</v>
      </c>
      <c r="M159" s="145" t="s">
        <v>198</v>
      </c>
      <c r="N159" s="146" t="str">
        <f t="shared" ca="1" si="60"/>
        <v>Serviço</v>
      </c>
      <c r="O159" s="147" t="str">
        <f t="shared" ca="1" si="61"/>
        <v>6.1.6.</v>
      </c>
      <c r="P159" s="148" t="s">
        <v>454</v>
      </c>
      <c r="Q159" s="149" t="s">
        <v>467</v>
      </c>
      <c r="R159" s="150" t="str">
        <f t="shared" ca="1" si="62"/>
        <v>CALHA QUADRADA DE CHAPA DE ACO GALVANIZADA NUM 24, CORTE 33 CM (COLETADO CAIXA)</v>
      </c>
      <c r="S159" s="151" t="str">
        <f t="shared" ca="1" si="63"/>
        <v xml:space="preserve">M     </v>
      </c>
      <c r="T159" s="152">
        <f ca="1">OFFSET(CÁLCULO!H$15,ROW($T159)-ROW(T$15),0)</f>
        <v>12.5</v>
      </c>
      <c r="U159" s="153">
        <v>22.32</v>
      </c>
      <c r="V159" s="154" t="s">
        <v>155</v>
      </c>
      <c r="W159" s="152">
        <f t="shared" ca="1" si="64"/>
        <v>28.42</v>
      </c>
      <c r="X159" s="155">
        <f t="shared" ca="1" si="65"/>
        <v>355.25</v>
      </c>
      <c r="Y159" s="156" t="s">
        <v>244</v>
      </c>
      <c r="Z159" t="str">
        <f t="shared" ca="1" si="66"/>
        <v>RA</v>
      </c>
      <c r="AA159" s="157">
        <f ca="1">IF($C159="S",IF($Z159="CP",$X159,IF($Z159="RA",(($X159)*QCI!$AA$3),0)),SomaAgrup)</f>
        <v>355.25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str">
        <f t="shared" ca="1" si="69"/>
        <v>SINAPI-I 40869</v>
      </c>
      <c r="AF159" s="160">
        <f t="shared" ca="1" si="70"/>
        <v>7455</v>
      </c>
      <c r="AG159" s="550">
        <f t="shared" ca="1" si="71"/>
        <v>22.32</v>
      </c>
      <c r="AH159" s="551">
        <f t="shared" ca="1" si="72"/>
        <v>0.27350000000000002</v>
      </c>
      <c r="AJ159" s="553">
        <v>12.5</v>
      </c>
      <c r="AL159" s="574"/>
      <c r="AM159" s="431">
        <f t="shared" ca="1" si="73"/>
        <v>355.25</v>
      </c>
      <c r="AN159" s="617">
        <f t="shared" ca="1" si="74"/>
        <v>28.42</v>
      </c>
    </row>
    <row r="160" spans="1:40" ht="25.5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6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7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>F</v>
      </c>
      <c r="M160" s="145" t="s">
        <v>198</v>
      </c>
      <c r="N160" s="146" t="str">
        <f t="shared" ca="1" si="60"/>
        <v>Serviço</v>
      </c>
      <c r="O160" s="147" t="str">
        <f t="shared" ca="1" si="61"/>
        <v>6.1.7.</v>
      </c>
      <c r="P160" s="148" t="s">
        <v>458</v>
      </c>
      <c r="Q160" s="149" t="s">
        <v>518</v>
      </c>
      <c r="R160" s="150" t="str">
        <f t="shared" ca="1" si="62"/>
        <v>ALGEROSA , CHAPA GALVANIZADA 24 , CORTE MININO DE 35CM, INSTALADA</v>
      </c>
      <c r="S160" s="151" t="str">
        <f t="shared" ca="1" si="63"/>
        <v>M</v>
      </c>
      <c r="T160" s="152">
        <f ca="1">OFFSET(CÁLCULO!H$15,ROW($T160)-ROW(T$15),0)</f>
        <v>22</v>
      </c>
      <c r="U160" s="153">
        <v>25</v>
      </c>
      <c r="V160" s="154" t="s">
        <v>155</v>
      </c>
      <c r="W160" s="152">
        <f t="shared" ca="1" si="64"/>
        <v>31.84</v>
      </c>
      <c r="X160" s="155">
        <f t="shared" ca="1" si="65"/>
        <v>700.48</v>
      </c>
      <c r="Y160" s="156" t="s">
        <v>244</v>
      </c>
      <c r="Z160" t="str">
        <f t="shared" ca="1" si="66"/>
        <v>RA</v>
      </c>
      <c r="AA160" s="157">
        <f ca="1">IF($C160="S",IF($Z160="CP",$X160,IF($Z160="RA",(($X160)*QCI!$AA$3),0)),SomaAgrup)</f>
        <v>700.48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str">
        <f t="shared" ca="1" si="69"/>
        <v>Cotação 008</v>
      </c>
      <c r="AF160" s="160">
        <f t="shared" ca="1" si="70"/>
        <v>25</v>
      </c>
      <c r="AG160" s="550">
        <f t="shared" ca="1" si="71"/>
        <v>25</v>
      </c>
      <c r="AH160" s="551">
        <f t="shared" ca="1" si="72"/>
        <v>0.27350000000000002</v>
      </c>
      <c r="AJ160" s="553">
        <v>22</v>
      </c>
      <c r="AL160" s="574"/>
      <c r="AM160" s="431">
        <f t="shared" ca="1" si="73"/>
        <v>700.48</v>
      </c>
      <c r="AN160" s="617">
        <f t="shared" ca="1" si="74"/>
        <v>31.84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6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7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0.27350000000000002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6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7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0.27350000000000002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6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7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0.27350000000000002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6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7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0.27350000000000002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6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7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0.27350000000000002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6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7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0.27350000000000002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6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7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0.27350000000000002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x14ac:dyDescent="0.2">
      <c r="A168">
        <f t="shared" si="50"/>
        <v>1</v>
      </c>
      <c r="B168">
        <f t="shared" ca="1" si="51"/>
        <v>1</v>
      </c>
      <c r="C168">
        <f t="shared" ca="1" si="52"/>
        <v>1</v>
      </c>
      <c r="D168">
        <f t="shared" ca="1" si="53"/>
        <v>18</v>
      </c>
      <c r="E168">
        <f ca="1">IF($C168=1,OFFSET(E168,-1,0)+MAX(1,COUNTIF(QCI!$A$13:$A$24,OFFSET(ORÇAMENTO!E168,-1,0))),OFFSET(E168,-1,0))</f>
        <v>7</v>
      </c>
      <c r="F168">
        <f t="shared" ca="1" si="54"/>
        <v>0</v>
      </c>
      <c r="G168">
        <f t="shared" ca="1" si="55"/>
        <v>0</v>
      </c>
      <c r="H168">
        <f t="shared" ca="1" si="56"/>
        <v>0</v>
      </c>
      <c r="I168">
        <f t="shared" ca="1" si="57"/>
        <v>0</v>
      </c>
      <c r="J168">
        <f t="shared" ca="1" si="58"/>
        <v>98</v>
      </c>
      <c r="K168">
        <f ca="1">IF(OR($C168="S",$C168=0),0,MATCH(OFFSET($D168,0,$C168)+IF($C168&lt;&gt;1,1,COUNTIF(QCI!$A$13:$A$24,ORÇAMENTO!E168)),OFFSET($D168,1,$C168,ROW($C$266)-ROW($C168)),0))</f>
        <v>18</v>
      </c>
      <c r="L168" s="144" t="str">
        <f t="shared" ca="1" si="59"/>
        <v>F</v>
      </c>
      <c r="M168" s="145" t="s">
        <v>194</v>
      </c>
      <c r="N168" s="146" t="str">
        <f t="shared" ca="1" si="60"/>
        <v>Meta</v>
      </c>
      <c r="O168" s="147" t="str">
        <f t="shared" ca="1" si="61"/>
        <v>7.</v>
      </c>
      <c r="P168" s="148" t="s">
        <v>246</v>
      </c>
      <c r="Q168" s="149"/>
      <c r="R168" s="150" t="str">
        <f ca="1">IF($C168="S",REFERENCIA.Descricao,"HIDRAULICO")</f>
        <v>HIDRAULICO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6036.03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6036.0300000000007</v>
      </c>
      <c r="AB168" s="158">
        <f t="shared" ca="1" si="67"/>
        <v>0</v>
      </c>
      <c r="AC168" s="159" t="str">
        <f t="shared" ca="1" si="68"/>
        <v/>
      </c>
      <c r="AD168" s="105">
        <f ca="1">IF(C168&lt;=CRONO.NivelExibicao,MAX($AD$15:OFFSET(AD168,-1,0))+IF($C168&lt;&gt;1,1,MAX(1,COUNTIF(QCI!$A$13:$A$24,OFFSET($E168,-1,0)))),"")</f>
        <v>13</v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0.27350000000000002</v>
      </c>
      <c r="AJ168" s="553"/>
      <c r="AL168" s="574"/>
      <c r="AM168" s="431">
        <f t="shared" ca="1" si="73"/>
        <v>6036.03</v>
      </c>
      <c r="AN168" s="617">
        <f t="shared" ca="1" si="74"/>
        <v>0</v>
      </c>
    </row>
    <row r="169" spans="1:40" x14ac:dyDescent="0.2">
      <c r="A169" t="str">
        <f t="shared" si="50"/>
        <v>S</v>
      </c>
      <c r="B169">
        <f t="shared" ca="1" si="51"/>
        <v>2</v>
      </c>
      <c r="C169">
        <f t="shared" ca="1" si="52"/>
        <v>2</v>
      </c>
      <c r="D169">
        <f t="shared" ca="1" si="53"/>
        <v>17</v>
      </c>
      <c r="E169">
        <f ca="1">IF($C169=1,OFFSET(E169,-1,0)+MAX(1,COUNTIF(QCI!$A$13:$A$24,OFFSET(ORÇAMENTO!E169,-1,0))),OFFSET(E169,-1,0))</f>
        <v>7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0</v>
      </c>
      <c r="J169">
        <f t="shared" ca="1" si="58"/>
        <v>17</v>
      </c>
      <c r="K169" t="e">
        <f ca="1">IF(OR($C169="S",$C169=0),0,MATCH(OFFSET($D169,0,$C169)+IF($C169&lt;&gt;1,1,COUNTIF(QCI!$A$13:$A$24,ORÇAMENTO!E169)),OFFSET($D169,1,$C169,ROW($C$266)-ROW($C169)),0))</f>
        <v>#N/A</v>
      </c>
      <c r="L169" s="144" t="str">
        <f t="shared" ca="1" si="59"/>
        <v>F</v>
      </c>
      <c r="M169" s="145" t="s">
        <v>198</v>
      </c>
      <c r="N169" s="146" t="str">
        <f t="shared" ca="1" si="60"/>
        <v>Nível 2</v>
      </c>
      <c r="O169" s="147" t="str">
        <f t="shared" ca="1" si="61"/>
        <v>7.1.</v>
      </c>
      <c r="P169" s="148" t="s">
        <v>246</v>
      </c>
      <c r="Q169" s="149"/>
      <c r="R169" s="150" t="str">
        <f t="shared" ca="1" si="62"/>
        <v>(digite a descrição aqui)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6036.03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6036.0300000000007</v>
      </c>
      <c r="AB169" s="158">
        <f t="shared" ca="1" si="67"/>
        <v>0</v>
      </c>
      <c r="AC169" s="159" t="str">
        <f t="shared" ca="1" si="68"/>
        <v/>
      </c>
      <c r="AD169" s="105">
        <f ca="1">IF(C169&lt;=CRONO.NivelExibicao,MAX($AD$15:OFFSET(AD169,-1,0))+IF($C169&lt;&gt;1,1,MAX(1,COUNTIF(QCI!$A$13:$A$24,OFFSET($E169,-1,0)))),"")</f>
        <v>14</v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0.27350000000000002</v>
      </c>
      <c r="AJ169" s="553"/>
      <c r="AL169" s="574"/>
      <c r="AM169" s="431">
        <f t="shared" ca="1" si="73"/>
        <v>6036.03</v>
      </c>
      <c r="AN169" s="617">
        <f t="shared" ca="1" si="74"/>
        <v>0</v>
      </c>
    </row>
    <row r="170" spans="1:40" ht="25.5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7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>F</v>
      </c>
      <c r="M170" s="145" t="s">
        <v>198</v>
      </c>
      <c r="N170" s="146" t="str">
        <f t="shared" ca="1" si="60"/>
        <v>Serviço</v>
      </c>
      <c r="O170" s="147" t="str">
        <f t="shared" ca="1" si="61"/>
        <v>7.1.1.</v>
      </c>
      <c r="P170" s="148" t="s">
        <v>246</v>
      </c>
      <c r="Q170" s="149" t="s">
        <v>468</v>
      </c>
      <c r="R170" s="150" t="str">
        <f t="shared" ca="1" si="62"/>
        <v>VASO SANITÁRIO SIFONADO COM CAIXA ACOPLADA LOUÇA BRANCA - FORNECIMENTO E INSTALAÇÃO. AF_12/2013</v>
      </c>
      <c r="S170" s="151" t="str">
        <f t="shared" ca="1" si="63"/>
        <v>UN</v>
      </c>
      <c r="T170" s="152">
        <f ca="1">OFFSET(CÁLCULO!H$15,ROW($T170)-ROW(T$15),0)</f>
        <v>1</v>
      </c>
      <c r="U170" s="153">
        <v>425.08</v>
      </c>
      <c r="V170" s="154" t="s">
        <v>155</v>
      </c>
      <c r="W170" s="152">
        <f t="shared" ca="1" si="64"/>
        <v>541.34</v>
      </c>
      <c r="X170" s="155">
        <f t="shared" ca="1" si="65"/>
        <v>541.34</v>
      </c>
      <c r="Y170" s="156" t="s">
        <v>244</v>
      </c>
      <c r="Z170" t="str">
        <f t="shared" ca="1" si="66"/>
        <v>RA</v>
      </c>
      <c r="AA170" s="157">
        <f ca="1">IF($C170="S",IF($Z170="CP",$X170,IF($Z170="RA",(($X170)*QCI!$AA$3),0)),SomaAgrup)</f>
        <v>541.34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str">
        <f t="shared" ca="1" si="69"/>
        <v>SINAPI 86888</v>
      </c>
      <c r="AF170" s="160">
        <f t="shared" ca="1" si="70"/>
        <v>4454</v>
      </c>
      <c r="AG170" s="550">
        <f t="shared" ca="1" si="71"/>
        <v>425.08</v>
      </c>
      <c r="AH170" s="551">
        <f t="shared" ca="1" si="72"/>
        <v>0.27350000000000002</v>
      </c>
      <c r="AJ170" s="553">
        <v>1</v>
      </c>
      <c r="AL170" s="574"/>
      <c r="AM170" s="431">
        <f t="shared" ca="1" si="73"/>
        <v>541.34</v>
      </c>
      <c r="AN170" s="617">
        <f t="shared" ca="1" si="74"/>
        <v>541.34</v>
      </c>
    </row>
    <row r="171" spans="1:40" ht="63.75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7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2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>F</v>
      </c>
      <c r="M171" s="145" t="s">
        <v>198</v>
      </c>
      <c r="N171" s="146" t="str">
        <f t="shared" ca="1" si="60"/>
        <v>Serviço</v>
      </c>
      <c r="O171" s="147" t="str">
        <f t="shared" ca="1" si="61"/>
        <v>7.1.2.</v>
      </c>
      <c r="P171" s="148" t="s">
        <v>246</v>
      </c>
      <c r="Q171" s="149" t="s">
        <v>470</v>
      </c>
      <c r="R171" s="150" t="str">
        <f t="shared" ca="1" si="62"/>
        <v>LAVATÓRIO LOUÇA BRANCA COM COLUNA, 45 X 55CM OU EQUIVALENTE, PADRÃO MÉDIO, INCLUSO SIFÃO TIPO GARRAFA, VÁLVULA E ENGATE FLEXÍVEL DE 40CM EM METAL CROMADO, COM TORNEIRA CROMADA DE MESA, PADRÃO MÉDIO - FORNECIMENTO E INSTALAÇÃO. AF_12/2013</v>
      </c>
      <c r="S171" s="151" t="str">
        <f t="shared" ca="1" si="63"/>
        <v>UN</v>
      </c>
      <c r="T171" s="152">
        <f ca="1">OFFSET(CÁLCULO!H$15,ROW($T171)-ROW(T$15),0)</f>
        <v>1</v>
      </c>
      <c r="U171" s="153">
        <v>539.30999999999995</v>
      </c>
      <c r="V171" s="154" t="s">
        <v>155</v>
      </c>
      <c r="W171" s="152">
        <f t="shared" ca="1" si="64"/>
        <v>686.81</v>
      </c>
      <c r="X171" s="155">
        <f t="shared" ca="1" si="65"/>
        <v>686.81</v>
      </c>
      <c r="Y171" s="156" t="s">
        <v>244</v>
      </c>
      <c r="Z171" t="str">
        <f t="shared" ca="1" si="66"/>
        <v>RA</v>
      </c>
      <c r="AA171" s="157">
        <f ca="1">IF($C171="S",IF($Z171="CP",$X171,IF($Z171="RA",(($X171)*QCI!$AA$3),0)),SomaAgrup)</f>
        <v>686.81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str">
        <f t="shared" ca="1" si="69"/>
        <v>SINAPI 86941</v>
      </c>
      <c r="AF171" s="160">
        <f t="shared" ca="1" si="70"/>
        <v>4498</v>
      </c>
      <c r="AG171" s="550">
        <f t="shared" ca="1" si="71"/>
        <v>539.30999999999995</v>
      </c>
      <c r="AH171" s="551">
        <f t="shared" ca="1" si="72"/>
        <v>0.27350000000000002</v>
      </c>
      <c r="AJ171" s="553">
        <v>1</v>
      </c>
      <c r="AL171" s="574"/>
      <c r="AM171" s="431">
        <f t="shared" ca="1" si="73"/>
        <v>686.81</v>
      </c>
      <c r="AN171" s="617">
        <f t="shared" ca="1" si="74"/>
        <v>686.81</v>
      </c>
    </row>
    <row r="172" spans="1:40" ht="25.5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7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3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>F</v>
      </c>
      <c r="M172" s="145" t="s">
        <v>198</v>
      </c>
      <c r="N172" s="146" t="str">
        <f t="shared" ca="1" si="60"/>
        <v>Serviço</v>
      </c>
      <c r="O172" s="147" t="str">
        <f t="shared" ca="1" si="61"/>
        <v>7.1.3.</v>
      </c>
      <c r="P172" s="148" t="s">
        <v>454</v>
      </c>
      <c r="Q172" s="149" t="s">
        <v>469</v>
      </c>
      <c r="R172" s="150" t="str">
        <f t="shared" ca="1" si="62"/>
        <v>CHUVEIRO COMUM EM PLASTICO BRANCO, COM CANO, 3 TEMPERATURAS, 5500 W (110/220 V)</v>
      </c>
      <c r="S172" s="151" t="str">
        <f t="shared" ca="1" si="63"/>
        <v xml:space="preserve">UN    </v>
      </c>
      <c r="T172" s="152">
        <f ca="1">OFFSET(CÁLCULO!H$15,ROW($T172)-ROW(T$15),0)</f>
        <v>5</v>
      </c>
      <c r="U172" s="153">
        <v>53.71</v>
      </c>
      <c r="V172" s="154" t="s">
        <v>155</v>
      </c>
      <c r="W172" s="152">
        <f t="shared" ca="1" si="64"/>
        <v>68.400000000000006</v>
      </c>
      <c r="X172" s="155">
        <f t="shared" ca="1" si="65"/>
        <v>342</v>
      </c>
      <c r="Y172" s="156" t="s">
        <v>244</v>
      </c>
      <c r="Z172" t="str">
        <f t="shared" ca="1" si="66"/>
        <v>RA</v>
      </c>
      <c r="AA172" s="157">
        <f ca="1">IF($C172="S",IF($Z172="CP",$X172,IF($Z172="RA",(($X172)*QCI!$AA$3),0)),SomaAgrup)</f>
        <v>342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str">
        <f t="shared" ca="1" si="69"/>
        <v>SINAPI-I 1368</v>
      </c>
      <c r="AF172" s="160">
        <f t="shared" ca="1" si="70"/>
        <v>7709</v>
      </c>
      <c r="AG172" s="550">
        <f t="shared" ca="1" si="71"/>
        <v>53.71</v>
      </c>
      <c r="AH172" s="551">
        <f t="shared" ca="1" si="72"/>
        <v>0.27350000000000002</v>
      </c>
      <c r="AJ172" s="553">
        <v>5</v>
      </c>
      <c r="AL172" s="574"/>
      <c r="AM172" s="431">
        <f t="shared" ca="1" si="73"/>
        <v>342</v>
      </c>
      <c r="AN172" s="617">
        <f t="shared" ca="1" si="74"/>
        <v>68.400000000000006</v>
      </c>
    </row>
    <row r="173" spans="1:40" ht="38.25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7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4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>F</v>
      </c>
      <c r="M173" s="145" t="s">
        <v>198</v>
      </c>
      <c r="N173" s="146" t="str">
        <f t="shared" ca="1" si="60"/>
        <v>Serviço</v>
      </c>
      <c r="O173" s="147" t="str">
        <f t="shared" ca="1" si="61"/>
        <v>7.1.4.</v>
      </c>
      <c r="P173" s="148" t="s">
        <v>246</v>
      </c>
      <c r="Q173" s="149" t="s">
        <v>471</v>
      </c>
      <c r="R173" s="150" t="str">
        <f t="shared" ca="1" si="62"/>
        <v>RALO SIFONADO, PVC, DN 100 X 40 MM, JUNTA SOLDÁVEL, FORNECIDO E INSTALADO EM RAMAL DE DESCARGA OU EM RAMAL DE ESGOTO SANITÁRIO. AF_12/2014</v>
      </c>
      <c r="S173" s="151" t="str">
        <f t="shared" ca="1" si="63"/>
        <v>UN</v>
      </c>
      <c r="T173" s="152">
        <f ca="1">OFFSET(CÁLCULO!H$15,ROW($T173)-ROW(T$15),0)</f>
        <v>7</v>
      </c>
      <c r="U173" s="153">
        <v>8.8000000000000007</v>
      </c>
      <c r="V173" s="154" t="s">
        <v>155</v>
      </c>
      <c r="W173" s="152">
        <f t="shared" ca="1" si="64"/>
        <v>11.21</v>
      </c>
      <c r="X173" s="155">
        <f t="shared" ca="1" si="65"/>
        <v>78.47</v>
      </c>
      <c r="Y173" s="156" t="s">
        <v>244</v>
      </c>
      <c r="Z173" t="str">
        <f t="shared" ca="1" si="66"/>
        <v>RA</v>
      </c>
      <c r="AA173" s="157">
        <f ca="1">IF($C173="S",IF($Z173="CP",$X173,IF($Z173="RA",(($X173)*QCI!$AA$3),0)),SomaAgrup)</f>
        <v>78.47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str">
        <f t="shared" ca="1" si="69"/>
        <v>SINAPI 89709</v>
      </c>
      <c r="AF173" s="160">
        <f t="shared" ca="1" si="70"/>
        <v>4435</v>
      </c>
      <c r="AG173" s="550">
        <f t="shared" ca="1" si="71"/>
        <v>8.8000000000000007</v>
      </c>
      <c r="AH173" s="551">
        <f t="shared" ca="1" si="72"/>
        <v>0.27350000000000002</v>
      </c>
      <c r="AJ173" s="553">
        <v>7</v>
      </c>
      <c r="AL173" s="574"/>
      <c r="AM173" s="431">
        <f t="shared" ca="1" si="73"/>
        <v>78.47</v>
      </c>
      <c r="AN173" s="617">
        <f t="shared" ca="1" si="74"/>
        <v>11.21</v>
      </c>
    </row>
    <row r="174" spans="1:40" ht="25.5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7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5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>F</v>
      </c>
      <c r="M174" s="145" t="s">
        <v>198</v>
      </c>
      <c r="N174" s="146" t="str">
        <f t="shared" ca="1" si="60"/>
        <v>Serviço</v>
      </c>
      <c r="O174" s="147" t="str">
        <f t="shared" ca="1" si="61"/>
        <v>7.1.5.</v>
      </c>
      <c r="P174" s="148" t="s">
        <v>454</v>
      </c>
      <c r="Q174" s="149" t="s">
        <v>472</v>
      </c>
      <c r="R174" s="150" t="str">
        <f t="shared" ca="1" si="62"/>
        <v>SABONETEIRA PLASTICA TIPO DISPENSER PARA SABONETE LIQUIDO COM RESERVATORIO 800 A 1500 ML</v>
      </c>
      <c r="S174" s="151" t="str">
        <f t="shared" ca="1" si="63"/>
        <v xml:space="preserve">UN    </v>
      </c>
      <c r="T174" s="152">
        <f ca="1">OFFSET(CÁLCULO!H$15,ROW($T174)-ROW(T$15),0)</f>
        <v>1</v>
      </c>
      <c r="U174" s="153">
        <v>35.450000000000003</v>
      </c>
      <c r="V174" s="154" t="s">
        <v>155</v>
      </c>
      <c r="W174" s="152">
        <f t="shared" ca="1" si="64"/>
        <v>45.15</v>
      </c>
      <c r="X174" s="155">
        <f t="shared" ca="1" si="65"/>
        <v>45.15</v>
      </c>
      <c r="Y174" s="156" t="s">
        <v>244</v>
      </c>
      <c r="Z174" t="str">
        <f t="shared" ca="1" si="66"/>
        <v>RA</v>
      </c>
      <c r="AA174" s="157">
        <f ca="1">IF($C174="S",IF($Z174="CP",$X174,IF($Z174="RA",(($X174)*QCI!$AA$3),0)),SomaAgrup)</f>
        <v>45.15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str">
        <f t="shared" ca="1" si="69"/>
        <v>SINAPI-I 11758</v>
      </c>
      <c r="AF174" s="160">
        <f t="shared" ca="1" si="70"/>
        <v>10550</v>
      </c>
      <c r="AG174" s="550">
        <f t="shared" ca="1" si="71"/>
        <v>35.450000000000003</v>
      </c>
      <c r="AH174" s="551">
        <f t="shared" ca="1" si="72"/>
        <v>0.27350000000000002</v>
      </c>
      <c r="AJ174" s="553">
        <v>1</v>
      </c>
      <c r="AL174" s="574"/>
      <c r="AM174" s="431">
        <f t="shared" ca="1" si="73"/>
        <v>45.15</v>
      </c>
      <c r="AN174" s="617">
        <f t="shared" ca="1" si="74"/>
        <v>45.15</v>
      </c>
    </row>
    <row r="175" spans="1:40" ht="25.5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7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6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>F</v>
      </c>
      <c r="M175" s="145" t="s">
        <v>198</v>
      </c>
      <c r="N175" s="146" t="str">
        <f t="shared" ca="1" si="60"/>
        <v>Serviço</v>
      </c>
      <c r="O175" s="147" t="str">
        <f t="shared" ca="1" si="61"/>
        <v>7.1.6.</v>
      </c>
      <c r="P175" s="148" t="s">
        <v>246</v>
      </c>
      <c r="Q175" s="149" t="s">
        <v>481</v>
      </c>
      <c r="R175" s="150" t="str">
        <f t="shared" ca="1" si="62"/>
        <v>REMOÇÃO DE LOUÇAS, DE FORMA MANUAL, SEM REAPROVEITAMENTO. AF_12/2017</v>
      </c>
      <c r="S175" s="151" t="str">
        <f t="shared" ca="1" si="63"/>
        <v>UN</v>
      </c>
      <c r="T175" s="152">
        <f ca="1">OFFSET(CÁLCULO!H$15,ROW($T175)-ROW(T$15),0)</f>
        <v>1</v>
      </c>
      <c r="U175" s="153">
        <v>9.56</v>
      </c>
      <c r="V175" s="154" t="s">
        <v>155</v>
      </c>
      <c r="W175" s="152">
        <f t="shared" ca="1" si="64"/>
        <v>12.17</v>
      </c>
      <c r="X175" s="155">
        <f t="shared" ca="1" si="65"/>
        <v>12.17</v>
      </c>
      <c r="Y175" s="156" t="s">
        <v>244</v>
      </c>
      <c r="Z175" t="str">
        <f t="shared" ca="1" si="66"/>
        <v>RA</v>
      </c>
      <c r="AA175" s="157">
        <f ca="1">IF($C175="S",IF($Z175="CP",$X175,IF($Z175="RA",(($X175)*QCI!$AA$3),0)),SomaAgrup)</f>
        <v>12.17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str">
        <f t="shared" ca="1" si="69"/>
        <v>SINAPI 97663</v>
      </c>
      <c r="AF175" s="160">
        <f t="shared" ca="1" si="70"/>
        <v>6113</v>
      </c>
      <c r="AG175" s="550">
        <f t="shared" ca="1" si="71"/>
        <v>9.56</v>
      </c>
      <c r="AH175" s="551">
        <f t="shared" ca="1" si="72"/>
        <v>0.27350000000000002</v>
      </c>
      <c r="AJ175" s="553">
        <v>1</v>
      </c>
      <c r="AL175" s="574"/>
      <c r="AM175" s="431">
        <f t="shared" ca="1" si="73"/>
        <v>12.17</v>
      </c>
      <c r="AN175" s="617">
        <f t="shared" ca="1" si="74"/>
        <v>12.17</v>
      </c>
    </row>
    <row r="176" spans="1:40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7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7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>F</v>
      </c>
      <c r="M176" s="145" t="s">
        <v>198</v>
      </c>
      <c r="N176" s="146" t="str">
        <f t="shared" ca="1" si="60"/>
        <v>Serviço</v>
      </c>
      <c r="O176" s="147" t="str">
        <f t="shared" ca="1" si="61"/>
        <v>7.1.7.</v>
      </c>
      <c r="P176" s="148" t="s">
        <v>458</v>
      </c>
      <c r="Q176" s="149" t="s">
        <v>482</v>
      </c>
      <c r="R176" s="150" t="str">
        <f t="shared" ca="1" si="62"/>
        <v>BOX EM VIDRO TEMPERADO 8MM INCLUSIVE GUARNIÇÕES</v>
      </c>
      <c r="S176" s="151" t="s">
        <v>459</v>
      </c>
      <c r="T176" s="152">
        <f ca="1">OFFSET(CÁLCULO!H$15,ROW($T176)-ROW(T$15),0)</f>
        <v>1.85</v>
      </c>
      <c r="U176" s="153">
        <v>450</v>
      </c>
      <c r="V176" s="154" t="s">
        <v>155</v>
      </c>
      <c r="W176" s="152">
        <f t="shared" ca="1" si="64"/>
        <v>573.08000000000004</v>
      </c>
      <c r="X176" s="155">
        <f t="shared" ca="1" si="65"/>
        <v>1060.2</v>
      </c>
      <c r="Y176" s="156" t="s">
        <v>244</v>
      </c>
      <c r="Z176" t="str">
        <f t="shared" ca="1" si="66"/>
        <v>RA</v>
      </c>
      <c r="AA176" s="157">
        <f ca="1">IF($C176="S",IF($Z176="CP",$X176,IF($Z176="RA",(($X176)*QCI!$AA$3),0)),SomaAgrup)</f>
        <v>1060.2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str">
        <f t="shared" ca="1" si="69"/>
        <v>Cotação 014</v>
      </c>
      <c r="AF176" s="160">
        <f t="shared" ca="1" si="70"/>
        <v>31</v>
      </c>
      <c r="AG176" s="550">
        <f t="shared" ca="1" si="71"/>
        <v>450</v>
      </c>
      <c r="AH176" s="551">
        <f t="shared" ca="1" si="72"/>
        <v>0.27350000000000002</v>
      </c>
      <c r="AJ176" s="553">
        <v>1.85</v>
      </c>
      <c r="AL176" s="574"/>
      <c r="AM176" s="431">
        <f t="shared" ca="1" si="73"/>
        <v>1060.2</v>
      </c>
      <c r="AN176" s="617">
        <f t="shared" ca="1" si="74"/>
        <v>573.08000000000004</v>
      </c>
    </row>
    <row r="177" spans="1:40" ht="38.25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7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8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>F</v>
      </c>
      <c r="M177" s="145" t="s">
        <v>198</v>
      </c>
      <c r="N177" s="146" t="str">
        <f t="shared" ca="1" si="60"/>
        <v>Serviço</v>
      </c>
      <c r="O177" s="147" t="str">
        <f t="shared" ca="1" si="61"/>
        <v>7.1.8.</v>
      </c>
      <c r="P177" s="148" t="s">
        <v>246</v>
      </c>
      <c r="Q177" s="149" t="s">
        <v>491</v>
      </c>
      <c r="R177" s="150" t="str">
        <f t="shared" ca="1" si="62"/>
        <v>PONTO DE CONSUMO TERMINAL DE ÁGUA FRIA (SUBRAMAL) COM TUBULAÇÃO DE PVC, DN 25 MM, INSTALADO EM RAMAL DE ÁGUA, INCLUSOS RASGO E CHUMBAMENTO EM ALVENARIA. AF_12/2014</v>
      </c>
      <c r="S177" s="151" t="str">
        <f t="shared" ca="1" si="63"/>
        <v>UN</v>
      </c>
      <c r="T177" s="152">
        <f ca="1">OFFSET(CÁLCULO!H$15,ROW($T177)-ROW(T$15),0)</f>
        <v>7</v>
      </c>
      <c r="U177" s="153">
        <v>110.62</v>
      </c>
      <c r="V177" s="154" t="s">
        <v>155</v>
      </c>
      <c r="W177" s="152">
        <f t="shared" ca="1" si="64"/>
        <v>140.87</v>
      </c>
      <c r="X177" s="155">
        <f t="shared" ca="1" si="65"/>
        <v>986.09</v>
      </c>
      <c r="Y177" s="156" t="s">
        <v>244</v>
      </c>
      <c r="Z177" t="str">
        <f t="shared" ca="1" si="66"/>
        <v>RA</v>
      </c>
      <c r="AA177" s="157">
        <f ca="1">IF($C177="S",IF($Z177="CP",$X177,IF($Z177="RA",(($X177)*QCI!$AA$3),0)),SomaAgrup)</f>
        <v>986.09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str">
        <f t="shared" ca="1" si="69"/>
        <v>SINAPI 89957</v>
      </c>
      <c r="AF177" s="160">
        <f t="shared" ca="1" si="70"/>
        <v>4560</v>
      </c>
      <c r="AG177" s="550">
        <f t="shared" ca="1" si="71"/>
        <v>110.62</v>
      </c>
      <c r="AH177" s="551">
        <f t="shared" ca="1" si="72"/>
        <v>0.27350000000000002</v>
      </c>
      <c r="AJ177" s="553">
        <v>7</v>
      </c>
      <c r="AL177" s="574"/>
      <c r="AM177" s="431">
        <f t="shared" ca="1" si="73"/>
        <v>986.09</v>
      </c>
      <c r="AN177" s="617">
        <f t="shared" ca="1" si="74"/>
        <v>140.87</v>
      </c>
    </row>
    <row r="178" spans="1:40" ht="25.5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7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9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>F</v>
      </c>
      <c r="M178" s="145" t="s">
        <v>198</v>
      </c>
      <c r="N178" s="146" t="str">
        <f t="shared" ca="1" si="60"/>
        <v>Serviço</v>
      </c>
      <c r="O178" s="147" t="str">
        <f t="shared" ca="1" si="61"/>
        <v>7.1.9.</v>
      </c>
      <c r="P178" s="148" t="s">
        <v>246</v>
      </c>
      <c r="Q178" s="149" t="s">
        <v>500</v>
      </c>
      <c r="R178" s="150" t="str">
        <f t="shared" ca="1" si="62"/>
        <v>CAIXA DE INSPEÇÃO EM CONCRETO PRÉ-MOLDADO DN 60CM COM TAMPA H= 60CM - FORNECIMENTO E INSTALACAO</v>
      </c>
      <c r="S178" s="151" t="str">
        <f t="shared" ca="1" si="63"/>
        <v>UN</v>
      </c>
      <c r="T178" s="152">
        <f ca="1">OFFSET(CÁLCULO!H$15,ROW($T178)-ROW(T$15),0)</f>
        <v>2</v>
      </c>
      <c r="U178" s="153">
        <v>178.47</v>
      </c>
      <c r="V178" s="154" t="s">
        <v>155</v>
      </c>
      <c r="W178" s="152">
        <f t="shared" ca="1" si="64"/>
        <v>227.28</v>
      </c>
      <c r="X178" s="155">
        <f t="shared" ca="1" si="65"/>
        <v>454.56</v>
      </c>
      <c r="Y178" s="156" t="s">
        <v>244</v>
      </c>
      <c r="Z178" t="str">
        <f t="shared" ca="1" si="66"/>
        <v>RA</v>
      </c>
      <c r="AA178" s="157">
        <f ca="1">IF($C178="S",IF($Z178="CP",$X178,IF($Z178="RA",(($X178)*QCI!$AA$3),0)),SomaAgrup)</f>
        <v>454.56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str">
        <f t="shared" ca="1" si="69"/>
        <v>SINAPI 74166/1</v>
      </c>
      <c r="AF178" s="160">
        <f t="shared" ca="1" si="70"/>
        <v>4401</v>
      </c>
      <c r="AG178" s="550">
        <f t="shared" ca="1" si="71"/>
        <v>178.47</v>
      </c>
      <c r="AH178" s="551">
        <f t="shared" ca="1" si="72"/>
        <v>0.27350000000000002</v>
      </c>
      <c r="AJ178" s="553">
        <v>2</v>
      </c>
      <c r="AL178" s="574"/>
      <c r="AM178" s="431">
        <f t="shared" ca="1" si="73"/>
        <v>454.56</v>
      </c>
      <c r="AN178" s="617">
        <f t="shared" ca="1" si="74"/>
        <v>227.28</v>
      </c>
    </row>
    <row r="179" spans="1:40" ht="25.5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7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10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>F</v>
      </c>
      <c r="M179" s="145" t="s">
        <v>198</v>
      </c>
      <c r="N179" s="146" t="str">
        <f t="shared" ca="1" si="60"/>
        <v>Serviço</v>
      </c>
      <c r="O179" s="147" t="str">
        <f t="shared" ca="1" si="61"/>
        <v>7.1.10.</v>
      </c>
      <c r="P179" s="148" t="s">
        <v>246</v>
      </c>
      <c r="Q179" s="149" t="s">
        <v>503</v>
      </c>
      <c r="R179" s="150" t="str">
        <f t="shared" ca="1" si="62"/>
        <v>TUBO, PVC, SOLDÁVEL, DN 25MM, INSTALADO EM RAMAL OU SUB-RAMAL DE ÁGUA - FORNECIMENTO E INSTALAÇÃO. AF_12/2014</v>
      </c>
      <c r="S179" s="151" t="str">
        <f t="shared" ca="1" si="63"/>
        <v>M</v>
      </c>
      <c r="T179" s="152">
        <f ca="1">OFFSET(CÁLCULO!H$15,ROW($T179)-ROW(T$15),0)</f>
        <v>12</v>
      </c>
      <c r="U179" s="153">
        <v>17.02</v>
      </c>
      <c r="V179" s="154" t="s">
        <v>155</v>
      </c>
      <c r="W179" s="152">
        <f t="shared" ca="1" si="64"/>
        <v>21.67</v>
      </c>
      <c r="X179" s="155">
        <f t="shared" ca="1" si="65"/>
        <v>260.04000000000002</v>
      </c>
      <c r="Y179" s="156" t="s">
        <v>244</v>
      </c>
      <c r="Z179" t="str">
        <f t="shared" ca="1" si="66"/>
        <v>RA</v>
      </c>
      <c r="AA179" s="157">
        <f ca="1">IF($C179="S",IF($Z179="CP",$X179,IF($Z179="RA",(($X179)*QCI!$AA$3),0)),SomaAgrup)</f>
        <v>260.04000000000002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str">
        <f t="shared" ca="1" si="69"/>
        <v>SINAPI 89356</v>
      </c>
      <c r="AF179" s="160">
        <f t="shared" ca="1" si="70"/>
        <v>3083</v>
      </c>
      <c r="AG179" s="550">
        <f t="shared" ca="1" si="71"/>
        <v>17.02</v>
      </c>
      <c r="AH179" s="551">
        <f t="shared" ca="1" si="72"/>
        <v>0.27350000000000002</v>
      </c>
      <c r="AJ179" s="553">
        <v>12</v>
      </c>
      <c r="AL179" s="574"/>
      <c r="AM179" s="431">
        <f t="shared" ca="1" si="73"/>
        <v>260.04000000000002</v>
      </c>
      <c r="AN179" s="617">
        <f t="shared" ca="1" si="74"/>
        <v>21.67</v>
      </c>
    </row>
    <row r="180" spans="1:40" ht="38.25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7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11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>F</v>
      </c>
      <c r="M180" s="145" t="s">
        <v>198</v>
      </c>
      <c r="N180" s="146" t="str">
        <f t="shared" ca="1" si="60"/>
        <v>Serviço</v>
      </c>
      <c r="O180" s="147" t="str">
        <f t="shared" ca="1" si="61"/>
        <v>7.1.11.</v>
      </c>
      <c r="P180" s="148" t="s">
        <v>246</v>
      </c>
      <c r="Q180" s="149" t="s">
        <v>504</v>
      </c>
      <c r="R180" s="150" t="str">
        <f t="shared" ca="1" si="62"/>
        <v>TUBO PVC, SERIE NORMAL, ESGOTO PREDIAL, DN 100 MM, FORNECIDO E INSTALADO EM RAMAL DE DESCARGA OU RAMAL DE ESGOTO SANITÁRIO. AF_12/2014</v>
      </c>
      <c r="S180" s="151" t="str">
        <f t="shared" ca="1" si="63"/>
        <v>M</v>
      </c>
      <c r="T180" s="152">
        <f ca="1">OFFSET(CÁLCULO!H$15,ROW($T180)-ROW(T$15),0)</f>
        <v>18</v>
      </c>
      <c r="U180" s="153">
        <v>42.62</v>
      </c>
      <c r="V180" s="154" t="s">
        <v>155</v>
      </c>
      <c r="W180" s="152">
        <f t="shared" ca="1" si="64"/>
        <v>54.28</v>
      </c>
      <c r="X180" s="155">
        <f t="shared" ca="1" si="65"/>
        <v>977.04</v>
      </c>
      <c r="Y180" s="156" t="s">
        <v>244</v>
      </c>
      <c r="Z180" t="str">
        <f t="shared" ca="1" si="66"/>
        <v>RA</v>
      </c>
      <c r="AA180" s="157">
        <f ca="1">IF($C180="S",IF($Z180="CP",$X180,IF($Z180="RA",(($X180)*QCI!$AA$3),0)),SomaAgrup)</f>
        <v>977.04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str">
        <f t="shared" ca="1" si="69"/>
        <v>SINAPI 89714</v>
      </c>
      <c r="AF180" s="160">
        <f t="shared" ca="1" si="70"/>
        <v>3109</v>
      </c>
      <c r="AG180" s="550">
        <f t="shared" ca="1" si="71"/>
        <v>42.62</v>
      </c>
      <c r="AH180" s="551">
        <f t="shared" ca="1" si="72"/>
        <v>0.27350000000000002</v>
      </c>
      <c r="AJ180" s="553">
        <v>18</v>
      </c>
      <c r="AL180" s="574"/>
      <c r="AM180" s="431">
        <f t="shared" ca="1" si="73"/>
        <v>977.04</v>
      </c>
      <c r="AN180" s="617">
        <f t="shared" ca="1" si="74"/>
        <v>54.28</v>
      </c>
    </row>
    <row r="181" spans="1:40" ht="25.5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7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12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>F</v>
      </c>
      <c r="M181" s="145" t="s">
        <v>198</v>
      </c>
      <c r="N181" s="146" t="str">
        <f t="shared" ca="1" si="60"/>
        <v>Serviço</v>
      </c>
      <c r="O181" s="147" t="str">
        <f t="shared" ca="1" si="61"/>
        <v>7.1.12.</v>
      </c>
      <c r="P181" s="148" t="s">
        <v>246</v>
      </c>
      <c r="Q181" s="149" t="s">
        <v>505</v>
      </c>
      <c r="R181" s="150" t="str">
        <f t="shared" ca="1" si="62"/>
        <v>TUBO, PVC, SOLDÁVEL, DN 50MM, INSTALADO EM PRUMADA DE ÁGUA - FORNECIMENTO E INSTALAÇÃO. AF_12/2014</v>
      </c>
      <c r="S181" s="151" t="str">
        <f t="shared" ca="1" si="63"/>
        <v>M</v>
      </c>
      <c r="T181" s="152">
        <f ca="1">OFFSET(CÁLCULO!H$15,ROW($T181)-ROW(T$15),0)</f>
        <v>6</v>
      </c>
      <c r="U181" s="153">
        <v>11.15</v>
      </c>
      <c r="V181" s="154" t="s">
        <v>155</v>
      </c>
      <c r="W181" s="152">
        <f t="shared" ca="1" si="64"/>
        <v>14.2</v>
      </c>
      <c r="X181" s="155">
        <f t="shared" ca="1" si="65"/>
        <v>85.2</v>
      </c>
      <c r="Y181" s="156" t="s">
        <v>244</v>
      </c>
      <c r="Z181" t="str">
        <f t="shared" ca="1" si="66"/>
        <v>RA</v>
      </c>
      <c r="AA181" s="157">
        <f ca="1">IF($C181="S",IF($Z181="CP",$X181,IF($Z181="RA",(($X181)*QCI!$AA$3),0)),SomaAgrup)</f>
        <v>85.2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str">
        <f t="shared" ca="1" si="69"/>
        <v>SINAPI 89449</v>
      </c>
      <c r="AF181" s="160">
        <f t="shared" ca="1" si="70"/>
        <v>3091</v>
      </c>
      <c r="AG181" s="550">
        <f t="shared" ca="1" si="71"/>
        <v>11.15</v>
      </c>
      <c r="AH181" s="551">
        <f t="shared" ca="1" si="72"/>
        <v>0.27350000000000002</v>
      </c>
      <c r="AJ181" s="553">
        <v>6</v>
      </c>
      <c r="AL181" s="574"/>
      <c r="AM181" s="431">
        <f t="shared" ca="1" si="73"/>
        <v>85.2</v>
      </c>
      <c r="AN181" s="617">
        <f t="shared" ca="1" si="74"/>
        <v>14.2</v>
      </c>
    </row>
    <row r="182" spans="1:40" ht="38.25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7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13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>F</v>
      </c>
      <c r="M182" s="145" t="s">
        <v>198</v>
      </c>
      <c r="N182" s="146" t="str">
        <f t="shared" ca="1" si="60"/>
        <v>Serviço</v>
      </c>
      <c r="O182" s="147" t="str">
        <f t="shared" ca="1" si="61"/>
        <v>7.1.13.</v>
      </c>
      <c r="P182" s="148" t="s">
        <v>246</v>
      </c>
      <c r="Q182" s="149" t="s">
        <v>506</v>
      </c>
      <c r="R182" s="150" t="str">
        <f t="shared" ca="1" si="62"/>
        <v>TUBO PVC, SERIE NORMAL, ESGOTO PREDIAL, DN 50 MM, FORNECIDO E INSTALADO EM RAMAL DE DESCARGA OU RAMAL DE ESGOTO SANITÁRIO. AF_12/2014</v>
      </c>
      <c r="S182" s="151" t="str">
        <f t="shared" ca="1" si="63"/>
        <v>M</v>
      </c>
      <c r="T182" s="152">
        <f ca="1">OFFSET(CÁLCULO!H$15,ROW($T182)-ROW(T$15),0)</f>
        <v>10</v>
      </c>
      <c r="U182" s="153">
        <v>21.72</v>
      </c>
      <c r="V182" s="154" t="s">
        <v>155</v>
      </c>
      <c r="W182" s="152">
        <f t="shared" ca="1" si="64"/>
        <v>27.66</v>
      </c>
      <c r="X182" s="155">
        <f t="shared" ca="1" si="65"/>
        <v>276.60000000000002</v>
      </c>
      <c r="Y182" s="156" t="s">
        <v>244</v>
      </c>
      <c r="Z182" t="str">
        <f t="shared" ca="1" si="66"/>
        <v>RA</v>
      </c>
      <c r="AA182" s="157">
        <f ca="1">IF($C182="S",IF($Z182="CP",$X182,IF($Z182="RA",(($X182)*QCI!$AA$3),0)),SomaAgrup)</f>
        <v>276.60000000000002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str">
        <f t="shared" ca="1" si="69"/>
        <v>SINAPI 89712</v>
      </c>
      <c r="AF182" s="160">
        <f t="shared" ca="1" si="70"/>
        <v>3107</v>
      </c>
      <c r="AG182" s="550">
        <f t="shared" ca="1" si="71"/>
        <v>21.72</v>
      </c>
      <c r="AH182" s="551">
        <f t="shared" ca="1" si="72"/>
        <v>0.27350000000000002</v>
      </c>
      <c r="AJ182" s="553">
        <v>10</v>
      </c>
      <c r="AL182" s="574"/>
      <c r="AM182" s="431">
        <f t="shared" ca="1" si="73"/>
        <v>276.60000000000002</v>
      </c>
      <c r="AN182" s="617">
        <f t="shared" ca="1" si="74"/>
        <v>27.66</v>
      </c>
    </row>
    <row r="183" spans="1:40" ht="25.5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7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14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>F</v>
      </c>
      <c r="M183" s="145" t="s">
        <v>198</v>
      </c>
      <c r="N183" s="146" t="str">
        <f t="shared" ca="1" si="60"/>
        <v>Serviço</v>
      </c>
      <c r="O183" s="147" t="str">
        <f t="shared" ca="1" si="61"/>
        <v>7.1.14.</v>
      </c>
      <c r="P183" s="148" t="s">
        <v>246</v>
      </c>
      <c r="Q183" s="149" t="s">
        <v>524</v>
      </c>
      <c r="R183" s="150" t="str">
        <f t="shared" ca="1" si="62"/>
        <v>KIT DE ACESSORIOS PARA BANHEIRO EM METAL CROMADO, 5 PECAS, INCLUSO FIXAÇÃO. AF_10/2016</v>
      </c>
      <c r="S183" s="151" t="str">
        <f t="shared" ca="1" si="63"/>
        <v>UN</v>
      </c>
      <c r="T183" s="152">
        <f ca="1">OFFSET(CÁLCULO!H$15,ROW($T183)-ROW(T$15),0)</f>
        <v>1</v>
      </c>
      <c r="U183" s="153">
        <v>133.94</v>
      </c>
      <c r="V183" s="154" t="s">
        <v>155</v>
      </c>
      <c r="W183" s="152">
        <f t="shared" ca="1" si="64"/>
        <v>170.57</v>
      </c>
      <c r="X183" s="155">
        <f t="shared" ca="1" si="65"/>
        <v>170.57</v>
      </c>
      <c r="Y183" s="156" t="s">
        <v>244</v>
      </c>
      <c r="Z183" t="str">
        <f t="shared" ca="1" si="66"/>
        <v>RA</v>
      </c>
      <c r="AA183" s="157">
        <f ca="1">IF($C183="S",IF($Z183="CP",$X183,IF($Z183="RA",(($X183)*QCI!$AA$3),0)),SomaAgrup)</f>
        <v>170.57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str">
        <f t="shared" ca="1" si="69"/>
        <v>SINAPI 95546</v>
      </c>
      <c r="AF183" s="160">
        <f t="shared" ca="1" si="70"/>
        <v>4514</v>
      </c>
      <c r="AG183" s="550">
        <f t="shared" ca="1" si="71"/>
        <v>133.94</v>
      </c>
      <c r="AH183" s="551">
        <f t="shared" ca="1" si="72"/>
        <v>0.27350000000000002</v>
      </c>
      <c r="AJ183" s="553">
        <v>1</v>
      </c>
      <c r="AL183" s="574"/>
      <c r="AM183" s="431">
        <f t="shared" ca="1" si="73"/>
        <v>170.57</v>
      </c>
      <c r="AN183" s="617">
        <f t="shared" ca="1" si="74"/>
        <v>170.57</v>
      </c>
    </row>
    <row r="184" spans="1:40" ht="25.5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7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15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>F</v>
      </c>
      <c r="M184" s="145" t="s">
        <v>198</v>
      </c>
      <c r="N184" s="146" t="str">
        <f t="shared" ca="1" si="60"/>
        <v>Serviço</v>
      </c>
      <c r="O184" s="147" t="str">
        <f t="shared" ca="1" si="61"/>
        <v>7.1.15.</v>
      </c>
      <c r="P184" s="148" t="s">
        <v>246</v>
      </c>
      <c r="Q184" s="149" t="s">
        <v>525</v>
      </c>
      <c r="R184" s="150" t="str">
        <f t="shared" ca="1" si="62"/>
        <v>PAPELEIRA DE PAREDE EM METAL CROMADO SEM TAMPA, INCLUSO FIXAÇÃO. AF_10/2016</v>
      </c>
      <c r="S184" s="151" t="str">
        <f t="shared" ca="1" si="63"/>
        <v>UN</v>
      </c>
      <c r="T184" s="152">
        <f ca="1">OFFSET(CÁLCULO!H$15,ROW($T184)-ROW(T$15),0)</f>
        <v>1</v>
      </c>
      <c r="U184" s="153">
        <v>46.95</v>
      </c>
      <c r="V184" s="154" t="s">
        <v>155</v>
      </c>
      <c r="W184" s="152">
        <f t="shared" ca="1" si="64"/>
        <v>59.79</v>
      </c>
      <c r="X184" s="155">
        <f t="shared" ca="1" si="65"/>
        <v>59.79</v>
      </c>
      <c r="Y184" s="156" t="s">
        <v>244</v>
      </c>
      <c r="Z184" t="str">
        <f t="shared" ca="1" si="66"/>
        <v>RA</v>
      </c>
      <c r="AA184" s="157">
        <f ca="1">IF($C184="S",IF($Z184="CP",$X184,IF($Z184="RA",(($X184)*QCI!$AA$3),0)),SomaAgrup)</f>
        <v>59.79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str">
        <f t="shared" ca="1" si="69"/>
        <v>SINAPI 95544</v>
      </c>
      <c r="AF184" s="160">
        <f t="shared" ca="1" si="70"/>
        <v>4512</v>
      </c>
      <c r="AG184" s="550">
        <f t="shared" ca="1" si="71"/>
        <v>46.95</v>
      </c>
      <c r="AH184" s="551">
        <f t="shared" ca="1" si="72"/>
        <v>0.27350000000000002</v>
      </c>
      <c r="AJ184" s="553">
        <v>1</v>
      </c>
      <c r="AL184" s="574"/>
      <c r="AM184" s="431">
        <f t="shared" ca="1" si="73"/>
        <v>59.79</v>
      </c>
      <c r="AN184" s="617">
        <f t="shared" ca="1" si="74"/>
        <v>59.79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7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15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0.27350000000000002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x14ac:dyDescent="0.2">
      <c r="A186">
        <f t="shared" si="50"/>
        <v>1</v>
      </c>
      <c r="B186">
        <f t="shared" ca="1" si="51"/>
        <v>1</v>
      </c>
      <c r="C186">
        <f t="shared" ca="1" si="52"/>
        <v>1</v>
      </c>
      <c r="D186">
        <f t="shared" ca="1" si="53"/>
        <v>16</v>
      </c>
      <c r="E186">
        <f ca="1">IF($C186=1,OFFSET(E186,-1,0)+MAX(1,COUNTIF(QCI!$A$13:$A$24,OFFSET(ORÇAMENTO!E186,-1,0))),OFFSET(E186,-1,0))</f>
        <v>8</v>
      </c>
      <c r="F186">
        <f t="shared" ca="1" si="54"/>
        <v>0</v>
      </c>
      <c r="G186">
        <f t="shared" ca="1" si="55"/>
        <v>0</v>
      </c>
      <c r="H186">
        <f t="shared" ca="1" si="56"/>
        <v>0</v>
      </c>
      <c r="I186">
        <f t="shared" ca="1" si="57"/>
        <v>0</v>
      </c>
      <c r="J186">
        <f t="shared" ca="1" si="58"/>
        <v>80</v>
      </c>
      <c r="K186">
        <f ca="1">IF(OR($C186="S",$C186=0),0,MATCH(OFFSET($D186,0,$C186)+IF($C186&lt;&gt;1,1,COUNTIF(QCI!$A$13:$A$24,ORÇAMENTO!E186)),OFFSET($D186,1,$C186,ROW($C$266)-ROW($C186)),0))</f>
        <v>16</v>
      </c>
      <c r="L186" s="144" t="str">
        <f t="shared" ca="1" si="59"/>
        <v>F</v>
      </c>
      <c r="M186" s="145" t="s">
        <v>194</v>
      </c>
      <c r="N186" s="146" t="str">
        <f t="shared" ca="1" si="60"/>
        <v>Meta</v>
      </c>
      <c r="O186" s="147" t="str">
        <f t="shared" ca="1" si="61"/>
        <v>8.</v>
      </c>
      <c r="P186" s="148" t="s">
        <v>246</v>
      </c>
      <c r="Q186" s="149"/>
      <c r="R186" s="150" t="str">
        <f ca="1">IF($C186="S",REFERENCIA.Descricao,"ELETRICO")</f>
        <v>ELETRICO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12629.54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12629.539999999999</v>
      </c>
      <c r="AB186" s="158">
        <f t="shared" ca="1" si="67"/>
        <v>0</v>
      </c>
      <c r="AC186" s="159" t="str">
        <f t="shared" ca="1" si="68"/>
        <v/>
      </c>
      <c r="AD186" s="105">
        <f ca="1">IF(C186&lt;=CRONO.NivelExibicao,MAX($AD$15:OFFSET(AD186,-1,0))+IF($C186&lt;&gt;1,1,MAX(1,COUNTIF(QCI!$A$13:$A$24,OFFSET($E186,-1,0)))),"")</f>
        <v>15</v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0.27350000000000002</v>
      </c>
      <c r="AJ186" s="553"/>
      <c r="AL186" s="574"/>
      <c r="AM186" s="431">
        <f t="shared" ca="1" si="73"/>
        <v>12629.54</v>
      </c>
      <c r="AN186" s="617">
        <f t="shared" ca="1" si="74"/>
        <v>0</v>
      </c>
    </row>
    <row r="187" spans="1:40" x14ac:dyDescent="0.2">
      <c r="A187" t="str">
        <f t="shared" si="50"/>
        <v>S</v>
      </c>
      <c r="B187">
        <f t="shared" ca="1" si="51"/>
        <v>2</v>
      </c>
      <c r="C187">
        <f t="shared" ca="1" si="52"/>
        <v>2</v>
      </c>
      <c r="D187">
        <f t="shared" ca="1" si="53"/>
        <v>15</v>
      </c>
      <c r="E187">
        <f ca="1">IF($C187=1,OFFSET(E187,-1,0)+MAX(1,COUNTIF(QCI!$A$13:$A$24,OFFSET(ORÇAMENTO!E187,-1,0))),OFFSET(E187,-1,0))</f>
        <v>8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0</v>
      </c>
      <c r="J187">
        <f t="shared" ca="1" si="58"/>
        <v>15</v>
      </c>
      <c r="K187" t="e">
        <f ca="1">IF(OR($C187="S",$C187=0),0,MATCH(OFFSET($D187,0,$C187)+IF($C187&lt;&gt;1,1,COUNTIF(QCI!$A$13:$A$24,ORÇAMENTO!E187)),OFFSET($D187,1,$C187,ROW($C$266)-ROW($C187)),0))</f>
        <v>#N/A</v>
      </c>
      <c r="L187" s="144" t="str">
        <f t="shared" ca="1" si="59"/>
        <v>F</v>
      </c>
      <c r="M187" s="145" t="s">
        <v>198</v>
      </c>
      <c r="N187" s="146" t="str">
        <f t="shared" ca="1" si="60"/>
        <v>Nível 2</v>
      </c>
      <c r="O187" s="147" t="str">
        <f t="shared" ca="1" si="61"/>
        <v>8.1.</v>
      </c>
      <c r="P187" s="148" t="s">
        <v>246</v>
      </c>
      <c r="Q187" s="149"/>
      <c r="R187" s="150" t="str">
        <f t="shared" ca="1" si="62"/>
        <v>(digite a descrição aqui)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12629.54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12629.539999999999</v>
      </c>
      <c r="AB187" s="158">
        <f t="shared" ca="1" si="67"/>
        <v>0</v>
      </c>
      <c r="AC187" s="159" t="str">
        <f t="shared" ca="1" si="68"/>
        <v/>
      </c>
      <c r="AD187" s="105">
        <f ca="1">IF(C187&lt;=CRONO.NivelExibicao,MAX($AD$15:OFFSET(AD187,-1,0))+IF($C187&lt;&gt;1,1,MAX(1,COUNTIF(QCI!$A$13:$A$24,OFFSET($E187,-1,0)))),"")</f>
        <v>16</v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0.27350000000000002</v>
      </c>
      <c r="AJ187" s="553"/>
      <c r="AL187" s="574"/>
      <c r="AM187" s="431">
        <f t="shared" ca="1" si="73"/>
        <v>12629.54</v>
      </c>
      <c r="AN187" s="617">
        <f t="shared" ca="1" si="74"/>
        <v>0</v>
      </c>
    </row>
    <row r="188" spans="1:40" ht="38.25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8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>F</v>
      </c>
      <c r="M188" s="145" t="s">
        <v>198</v>
      </c>
      <c r="N188" s="146" t="str">
        <f t="shared" ca="1" si="60"/>
        <v>Serviço</v>
      </c>
      <c r="O188" s="147" t="str">
        <f t="shared" ca="1" si="61"/>
        <v>8.1.1.</v>
      </c>
      <c r="P188" s="148" t="s">
        <v>246</v>
      </c>
      <c r="Q188" s="149" t="s">
        <v>488</v>
      </c>
      <c r="R188" s="150" t="str">
        <f ca="1">IF($C188="S",REFERENCIA.Descricao,"(digite a descrição aqui)")</f>
        <v>PONTO DE ILUMINAÇÃO RESIDENCIAL INCLUINDO INTERRUPTOR PARALELO, CAIXA ELÉTRICA, ELETRODUTO, CABO, RASGO, QUEBRA E CHUMBAMENTO (EXCLUINDO LUMINÁRIA E LÂMPADA). AF_01/2016</v>
      </c>
      <c r="S188" s="151" t="str">
        <f t="shared" ca="1" si="63"/>
        <v>UN</v>
      </c>
      <c r="T188" s="152">
        <f ca="1">OFFSET(CÁLCULO!H$15,ROW($T188)-ROW(T$15),0)</f>
        <v>5</v>
      </c>
      <c r="U188" s="153">
        <v>123.47</v>
      </c>
      <c r="V188" s="154" t="s">
        <v>155</v>
      </c>
      <c r="W188" s="152">
        <f t="shared" ca="1" si="64"/>
        <v>157.24</v>
      </c>
      <c r="X188" s="155">
        <f t="shared" ca="1" si="65"/>
        <v>786.2</v>
      </c>
      <c r="Y188" s="156" t="s">
        <v>244</v>
      </c>
      <c r="Z188" t="str">
        <f t="shared" ca="1" si="66"/>
        <v>RA</v>
      </c>
      <c r="AA188" s="157">
        <f ca="1">IF($C188="S",IF($Z188="CP",$X188,IF($Z188="RA",(($X188)*QCI!$AA$3),0)),SomaAgrup)</f>
        <v>786.2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str">
        <f t="shared" ca="1" si="69"/>
        <v>SINAPI 93138</v>
      </c>
      <c r="AF188" s="160">
        <f t="shared" ca="1" si="70"/>
        <v>2955</v>
      </c>
      <c r="AG188" s="550">
        <f t="shared" ca="1" si="71"/>
        <v>123.47</v>
      </c>
      <c r="AH188" s="551">
        <f t="shared" ca="1" si="72"/>
        <v>0.27350000000000002</v>
      </c>
      <c r="AJ188" s="553">
        <v>5</v>
      </c>
      <c r="AL188" s="574"/>
      <c r="AM188" s="431">
        <f t="shared" ca="1" si="73"/>
        <v>786.2</v>
      </c>
      <c r="AN188" s="617">
        <f t="shared" ca="1" si="74"/>
        <v>157.24</v>
      </c>
    </row>
    <row r="189" spans="1:40" ht="38.25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8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2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>F</v>
      </c>
      <c r="M189" s="145" t="s">
        <v>198</v>
      </c>
      <c r="N189" s="146" t="str">
        <f t="shared" ca="1" si="60"/>
        <v>Serviço</v>
      </c>
      <c r="O189" s="147" t="str">
        <f t="shared" ca="1" si="61"/>
        <v>8.1.2.</v>
      </c>
      <c r="P189" s="148" t="s">
        <v>246</v>
      </c>
      <c r="Q189" s="149" t="s">
        <v>489</v>
      </c>
      <c r="R189" s="150" t="str">
        <f t="shared" ca="1" si="62"/>
        <v>PONTO DE TOMADA RESIDENCIAL INCLUINDO TOMADA 20A/250V, CAIXA ELÉTRICA, ELETRODUTO, CABO, RASGO, QUEBRA E CHUMBAMENTO. AF_01/2016</v>
      </c>
      <c r="S189" s="151" t="str">
        <f t="shared" ca="1" si="63"/>
        <v>UN</v>
      </c>
      <c r="T189" s="152">
        <f ca="1">OFFSET(CÁLCULO!H$15,ROW($T189)-ROW(T$15),0)</f>
        <v>35</v>
      </c>
      <c r="U189" s="153">
        <v>134.85</v>
      </c>
      <c r="V189" s="154" t="s">
        <v>155</v>
      </c>
      <c r="W189" s="152">
        <f t="shared" ca="1" si="64"/>
        <v>171.73</v>
      </c>
      <c r="X189" s="155">
        <f t="shared" ca="1" si="65"/>
        <v>6010.55</v>
      </c>
      <c r="Y189" s="156" t="s">
        <v>244</v>
      </c>
      <c r="Z189" t="str">
        <f t="shared" ca="1" si="66"/>
        <v>RA</v>
      </c>
      <c r="AA189" s="157">
        <f ca="1">IF($C189="S",IF($Z189="CP",$X189,IF($Z189="RA",(($X189)*QCI!$AA$3),0)),SomaAgrup)</f>
        <v>6010.55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str">
        <f t="shared" ca="1" si="69"/>
        <v>SINAPI 93143</v>
      </c>
      <c r="AF189" s="160">
        <f t="shared" ca="1" si="70"/>
        <v>2960</v>
      </c>
      <c r="AG189" s="550">
        <f t="shared" ca="1" si="71"/>
        <v>134.85</v>
      </c>
      <c r="AH189" s="551">
        <f t="shared" ca="1" si="72"/>
        <v>0.27350000000000002</v>
      </c>
      <c r="AJ189" s="553">
        <v>35</v>
      </c>
      <c r="AL189" s="574"/>
      <c r="AM189" s="431">
        <f t="shared" ca="1" si="73"/>
        <v>6010.55</v>
      </c>
      <c r="AN189" s="617">
        <f t="shared" ca="1" si="74"/>
        <v>171.73</v>
      </c>
    </row>
    <row r="190" spans="1:40" ht="25.5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8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3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>F</v>
      </c>
      <c r="M190" s="145" t="s">
        <v>198</v>
      </c>
      <c r="N190" s="146" t="str">
        <f t="shared" ca="1" si="60"/>
        <v>Serviço</v>
      </c>
      <c r="O190" s="147" t="str">
        <f t="shared" ca="1" si="61"/>
        <v>8.1.3.</v>
      </c>
      <c r="P190" s="148" t="s">
        <v>454</v>
      </c>
      <c r="Q190" s="149" t="s">
        <v>487</v>
      </c>
      <c r="R190" s="150" t="str">
        <f t="shared" ca="1" si="62"/>
        <v>LUMINARIA DE TETO PLAFON/PLAFONIER EM PLASTICO COM BASE E27, POTENCIA MAXIMA 60 W (NAO INCLUI LAMPADA)</v>
      </c>
      <c r="S190" s="151" t="str">
        <f t="shared" ca="1" si="63"/>
        <v xml:space="preserve">UN    </v>
      </c>
      <c r="T190" s="152">
        <f ca="1">OFFSET(CÁLCULO!H$15,ROW($T190)-ROW(T$15),0)</f>
        <v>5</v>
      </c>
      <c r="U190" s="153">
        <v>2.96</v>
      </c>
      <c r="V190" s="154" t="s">
        <v>155</v>
      </c>
      <c r="W190" s="152">
        <f t="shared" ca="1" si="64"/>
        <v>3.77</v>
      </c>
      <c r="X190" s="155">
        <f t="shared" ca="1" si="65"/>
        <v>18.850000000000001</v>
      </c>
      <c r="Y190" s="156" t="s">
        <v>244</v>
      </c>
      <c r="Z190" t="str">
        <f t="shared" ca="1" si="66"/>
        <v>RA</v>
      </c>
      <c r="AA190" s="157">
        <f ca="1">IF($C190="S",IF($Z190="CP",$X190,IF($Z190="RA",(($X190)*QCI!$AA$3),0)),SomaAgrup)</f>
        <v>18.850000000000001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str">
        <f t="shared" ca="1" si="69"/>
        <v>SINAPI-I 38773</v>
      </c>
      <c r="AF190" s="160">
        <f t="shared" ca="1" si="70"/>
        <v>9342</v>
      </c>
      <c r="AG190" s="550">
        <f t="shared" ca="1" si="71"/>
        <v>2.96</v>
      </c>
      <c r="AH190" s="551">
        <f t="shared" ca="1" si="72"/>
        <v>0.27350000000000002</v>
      </c>
      <c r="AJ190" s="553">
        <v>5</v>
      </c>
      <c r="AL190" s="574"/>
      <c r="AM190" s="431">
        <f t="shared" ca="1" si="73"/>
        <v>18.850000000000001</v>
      </c>
      <c r="AN190" s="617">
        <f t="shared" ca="1" si="74"/>
        <v>3.77</v>
      </c>
    </row>
    <row r="191" spans="1:40" ht="25.5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8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4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>F</v>
      </c>
      <c r="M191" s="145" t="s">
        <v>198</v>
      </c>
      <c r="N191" s="146" t="str">
        <f t="shared" ca="1" si="60"/>
        <v>Serviço</v>
      </c>
      <c r="O191" s="147" t="str">
        <f t="shared" ca="1" si="61"/>
        <v>8.1.4.</v>
      </c>
      <c r="P191" s="148" t="s">
        <v>454</v>
      </c>
      <c r="Q191" s="149" t="s">
        <v>490</v>
      </c>
      <c r="R191" s="150" t="str">
        <f t="shared" ca="1" si="62"/>
        <v>LAMPADA FLUORESCENTE ESPIRAL BRANCA 45 W, BASE E27 (127/220 V)</v>
      </c>
      <c r="S191" s="151" t="str">
        <f t="shared" ca="1" si="63"/>
        <v xml:space="preserve">UN    </v>
      </c>
      <c r="T191" s="152">
        <f ca="1">OFFSET(CÁLCULO!H$15,ROW($T191)-ROW(T$15),0)</f>
        <v>5</v>
      </c>
      <c r="U191" s="153">
        <v>46.43</v>
      </c>
      <c r="V191" s="154" t="s">
        <v>155</v>
      </c>
      <c r="W191" s="152">
        <f t="shared" ca="1" si="64"/>
        <v>59.13</v>
      </c>
      <c r="X191" s="155">
        <f t="shared" ca="1" si="65"/>
        <v>295.64999999999998</v>
      </c>
      <c r="Y191" s="156" t="s">
        <v>244</v>
      </c>
      <c r="Z191" t="str">
        <f t="shared" ca="1" si="66"/>
        <v>RA</v>
      </c>
      <c r="AA191" s="157">
        <f ca="1">IF($C191="S",IF($Z191="CP",$X191,IF($Z191="RA",(($X191)*QCI!$AA$3),0)),SomaAgrup)</f>
        <v>295.64999999999998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str">
        <f t="shared" ca="1" si="69"/>
        <v>SINAPI-I 38781</v>
      </c>
      <c r="AF191" s="160">
        <f t="shared" ca="1" si="70"/>
        <v>9240</v>
      </c>
      <c r="AG191" s="550">
        <f t="shared" ca="1" si="71"/>
        <v>46.43</v>
      </c>
      <c r="AH191" s="551">
        <f t="shared" ca="1" si="72"/>
        <v>0.27350000000000002</v>
      </c>
      <c r="AJ191" s="553">
        <v>5</v>
      </c>
      <c r="AL191" s="574"/>
      <c r="AM191" s="431">
        <f t="shared" ca="1" si="73"/>
        <v>295.64999999999998</v>
      </c>
      <c r="AN191" s="617">
        <f t="shared" ca="1" si="74"/>
        <v>59.13</v>
      </c>
    </row>
    <row r="192" spans="1:40" ht="25.5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8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5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>F</v>
      </c>
      <c r="M192" s="145" t="s">
        <v>198</v>
      </c>
      <c r="N192" s="146" t="str">
        <f t="shared" ca="1" si="60"/>
        <v>Serviço</v>
      </c>
      <c r="O192" s="147" t="str">
        <f t="shared" ca="1" si="61"/>
        <v>8.1.5.</v>
      </c>
      <c r="P192" s="148" t="s">
        <v>454</v>
      </c>
      <c r="Q192" s="149" t="s">
        <v>493</v>
      </c>
      <c r="R192" s="150" t="str">
        <f ca="1">IF($C192="S",REFERENCIA.Descricao,"(digite a descrição aqui)")</f>
        <v>ESPELHO / PLACA CEGA 4" X 2", PARA INSTALACAO DE TOMADAS E INTERRUPTORES</v>
      </c>
      <c r="S192" s="151" t="str">
        <f t="shared" ca="1" si="63"/>
        <v xml:space="preserve">UN    </v>
      </c>
      <c r="T192" s="152">
        <f ca="1">OFFSET(CÁLCULO!H$15,ROW($T192)-ROW(T$15),0)</f>
        <v>30</v>
      </c>
      <c r="U192" s="153">
        <v>1.84</v>
      </c>
      <c r="V192" s="154" t="s">
        <v>155</v>
      </c>
      <c r="W192" s="152">
        <f t="shared" ca="1" si="64"/>
        <v>2.34</v>
      </c>
      <c r="X192" s="155">
        <f t="shared" ca="1" si="65"/>
        <v>70.2</v>
      </c>
      <c r="Y192" s="156" t="s">
        <v>244</v>
      </c>
      <c r="Z192" t="str">
        <f t="shared" ca="1" si="66"/>
        <v>RA</v>
      </c>
      <c r="AA192" s="157">
        <f ca="1">IF($C192="S",IF($Z192="CP",$X192,IF($Z192="RA",(($X192)*QCI!$AA$3),0)),SomaAgrup)</f>
        <v>70.2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str">
        <f t="shared" ca="1" si="69"/>
        <v>SINAPI-I 38091</v>
      </c>
      <c r="AF192" s="160">
        <f t="shared" ca="1" si="70"/>
        <v>8559</v>
      </c>
      <c r="AG192" s="550">
        <f t="shared" ca="1" si="71"/>
        <v>1.84</v>
      </c>
      <c r="AH192" s="551">
        <f t="shared" ca="1" si="72"/>
        <v>0.27350000000000002</v>
      </c>
      <c r="AJ192" s="553">
        <v>30</v>
      </c>
      <c r="AL192" s="574"/>
      <c r="AM192" s="431">
        <f t="shared" ca="1" si="73"/>
        <v>70.2</v>
      </c>
      <c r="AN192" s="617">
        <f t="shared" ca="1" si="74"/>
        <v>2.34</v>
      </c>
    </row>
    <row r="193" spans="1:40" ht="25.5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8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6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>F</v>
      </c>
      <c r="M193" s="145" t="s">
        <v>198</v>
      </c>
      <c r="N193" s="146" t="str">
        <f t="shared" ca="1" si="60"/>
        <v>Serviço</v>
      </c>
      <c r="O193" s="147" t="str">
        <f t="shared" ca="1" si="61"/>
        <v>8.1.6.</v>
      </c>
      <c r="P193" s="148" t="s">
        <v>458</v>
      </c>
      <c r="Q193" s="149" t="s">
        <v>501</v>
      </c>
      <c r="R193" s="150" t="str">
        <f t="shared" ca="1" si="62"/>
        <v xml:space="preserve"> EXAUSTOR + 4 M  DE TUBO FLEXIVEL E GRADE EXTERNA, COM LIGAÇÃO NO INTERRUPTOR DE ENERGIA, INCLUINDO INSTALAÇÃO</v>
      </c>
      <c r="S193" s="151" t="str">
        <f t="shared" ca="1" si="63"/>
        <v>UNIDADE</v>
      </c>
      <c r="T193" s="152">
        <f ca="1">OFFSET(CÁLCULO!H$15,ROW($T193)-ROW(T$15),0)</f>
        <v>8</v>
      </c>
      <c r="U193" s="153">
        <v>250</v>
      </c>
      <c r="V193" s="154" t="s">
        <v>155</v>
      </c>
      <c r="W193" s="152">
        <f t="shared" ca="1" si="64"/>
        <v>318.38</v>
      </c>
      <c r="X193" s="155">
        <f t="shared" ca="1" si="65"/>
        <v>2547.04</v>
      </c>
      <c r="Y193" s="156" t="s">
        <v>244</v>
      </c>
      <c r="Z193" t="str">
        <f t="shared" ca="1" si="66"/>
        <v>RA</v>
      </c>
      <c r="AA193" s="157">
        <f ca="1">IF($C193="S",IF($Z193="CP",$X193,IF($Z193="RA",(($X193)*QCI!$AA$3),0)),SomaAgrup)</f>
        <v>2547.04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str">
        <f t="shared" ca="1" si="69"/>
        <v>Cotação 015</v>
      </c>
      <c r="AF193" s="160">
        <f t="shared" ca="1" si="70"/>
        <v>32</v>
      </c>
      <c r="AG193" s="550">
        <f t="shared" ca="1" si="71"/>
        <v>250</v>
      </c>
      <c r="AH193" s="551">
        <f t="shared" ca="1" si="72"/>
        <v>0.27350000000000002</v>
      </c>
      <c r="AJ193" s="553">
        <v>8</v>
      </c>
      <c r="AL193" s="574"/>
      <c r="AM193" s="431">
        <f t="shared" ca="1" si="73"/>
        <v>2547.04</v>
      </c>
      <c r="AN193" s="617">
        <f t="shared" ca="1" si="74"/>
        <v>318.38</v>
      </c>
    </row>
    <row r="194" spans="1:40" ht="38.25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8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7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>F</v>
      </c>
      <c r="M194" s="145" t="s">
        <v>198</v>
      </c>
      <c r="N194" s="146" t="str">
        <f t="shared" ca="1" si="60"/>
        <v>Serviço</v>
      </c>
      <c r="O194" s="147" t="str">
        <f t="shared" ca="1" si="61"/>
        <v>8.1.7.</v>
      </c>
      <c r="P194" s="148" t="s">
        <v>246</v>
      </c>
      <c r="Q194" s="149" t="s">
        <v>520</v>
      </c>
      <c r="R194" s="150" t="str">
        <f t="shared" ca="1" si="62"/>
        <v>ELETRODUTO RÍGIDO ROSCÁVEL, PVC, DN 25 MM (3/4"), PARA CIRCUITOS TERMINAIS, INSTALADO EM FORRO - FORNECIMENTO E INSTALAÇÃO. AF_12/2015</v>
      </c>
      <c r="S194" s="151" t="str">
        <f t="shared" ca="1" si="63"/>
        <v>M</v>
      </c>
      <c r="T194" s="152">
        <f ca="1">OFFSET(CÁLCULO!H$15,ROW($T194)-ROW(T$15),0)</f>
        <v>25</v>
      </c>
      <c r="U194" s="153">
        <v>8.06</v>
      </c>
      <c r="V194" s="154" t="s">
        <v>155</v>
      </c>
      <c r="W194" s="152">
        <f t="shared" ca="1" si="64"/>
        <v>10.26</v>
      </c>
      <c r="X194" s="155">
        <f t="shared" ca="1" si="65"/>
        <v>256.5</v>
      </c>
      <c r="Y194" s="156" t="s">
        <v>244</v>
      </c>
      <c r="Z194" t="str">
        <f t="shared" ca="1" si="66"/>
        <v>RA</v>
      </c>
      <c r="AA194" s="157">
        <f ca="1">IF($C194="S",IF($Z194="CP",$X194,IF($Z194="RA",(($X194)*QCI!$AA$3),0)),SomaAgrup)</f>
        <v>256.5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str">
        <f t="shared" ca="1" si="69"/>
        <v>SINAPI 91863</v>
      </c>
      <c r="AF194" s="160">
        <f t="shared" ca="1" si="70"/>
        <v>2519</v>
      </c>
      <c r="AG194" s="550">
        <f t="shared" ca="1" si="71"/>
        <v>8.06</v>
      </c>
      <c r="AH194" s="551">
        <f t="shared" ca="1" si="72"/>
        <v>0.27350000000000002</v>
      </c>
      <c r="AJ194" s="553">
        <v>25</v>
      </c>
      <c r="AL194" s="574"/>
      <c r="AM194" s="431">
        <f t="shared" ca="1" si="73"/>
        <v>256.5</v>
      </c>
      <c r="AN194" s="617">
        <f t="shared" ca="1" si="74"/>
        <v>10.26</v>
      </c>
    </row>
    <row r="195" spans="1:40" ht="25.5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8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8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>F</v>
      </c>
      <c r="M195" s="145" t="s">
        <v>198</v>
      </c>
      <c r="N195" s="146" t="str">
        <f t="shared" ca="1" si="60"/>
        <v>Serviço</v>
      </c>
      <c r="O195" s="147" t="str">
        <f t="shared" ca="1" si="61"/>
        <v>8.1.8.</v>
      </c>
      <c r="P195" s="148" t="s">
        <v>454</v>
      </c>
      <c r="Q195" s="149" t="s">
        <v>521</v>
      </c>
      <c r="R195" s="150" t="str">
        <f t="shared" ca="1" si="62"/>
        <v>FIO DE COBRE, SOLIDO, CLASSE 1, ISOLACAO EM PVC/A, ANTICHAMA BWF-B, 450/750V, SECAO NOMINAL 4 MM2</v>
      </c>
      <c r="S195" s="151" t="str">
        <f t="shared" ca="1" si="63"/>
        <v xml:space="preserve">M     </v>
      </c>
      <c r="T195" s="152">
        <f ca="1">OFFSET(CÁLCULO!H$15,ROW($T195)-ROW(T$15),0)</f>
        <v>40</v>
      </c>
      <c r="U195" s="153">
        <v>2.27</v>
      </c>
      <c r="V195" s="154" t="s">
        <v>155</v>
      </c>
      <c r="W195" s="152">
        <f t="shared" ca="1" si="64"/>
        <v>2.89</v>
      </c>
      <c r="X195" s="155">
        <f t="shared" ca="1" si="65"/>
        <v>115.6</v>
      </c>
      <c r="Y195" s="156" t="s">
        <v>244</v>
      </c>
      <c r="Z195" t="str">
        <f t="shared" ca="1" si="66"/>
        <v>RA</v>
      </c>
      <c r="AA195" s="157">
        <f ca="1">IF($C195="S",IF($Z195="CP",$X195,IF($Z195="RA",(($X195)*QCI!$AA$3),0)),SomaAgrup)</f>
        <v>115.6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str">
        <f t="shared" ca="1" si="69"/>
        <v>SINAPI-I 944</v>
      </c>
      <c r="AF195" s="160">
        <f t="shared" ca="1" si="70"/>
        <v>8670</v>
      </c>
      <c r="AG195" s="550">
        <f t="shared" ca="1" si="71"/>
        <v>2.27</v>
      </c>
      <c r="AH195" s="551">
        <f t="shared" ca="1" si="72"/>
        <v>0.27350000000000002</v>
      </c>
      <c r="AJ195" s="553">
        <v>40</v>
      </c>
      <c r="AL195" s="574"/>
      <c r="AM195" s="431">
        <f t="shared" ca="1" si="73"/>
        <v>115.6</v>
      </c>
      <c r="AN195" s="617">
        <f t="shared" ca="1" si="74"/>
        <v>2.89</v>
      </c>
    </row>
    <row r="196" spans="1:40" ht="25.5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8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9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>F</v>
      </c>
      <c r="M196" s="145" t="s">
        <v>198</v>
      </c>
      <c r="N196" s="146" t="str">
        <f t="shared" ca="1" si="60"/>
        <v>Serviço</v>
      </c>
      <c r="O196" s="147" t="str">
        <f t="shared" ca="1" si="61"/>
        <v>8.1.9.</v>
      </c>
      <c r="P196" s="148" t="s">
        <v>454</v>
      </c>
      <c r="Q196" s="149" t="s">
        <v>522</v>
      </c>
      <c r="R196" s="150" t="str">
        <f t="shared" ca="1" si="62"/>
        <v>FIO DE COBRE, SOLIDO, CLASSE 1, ISOLACAO EM PVC/A, ANTICHAMA BWF-B, 450/750V, SECAO NOMINAL 2,5 MM2</v>
      </c>
      <c r="S196" s="151" t="str">
        <f ca="1">REFERENCIA.Unidade</f>
        <v xml:space="preserve">M     </v>
      </c>
      <c r="T196" s="152">
        <f ca="1">OFFSET(CÁLCULO!H$15,ROW($T196)-ROW(T$15),0)</f>
        <v>60</v>
      </c>
      <c r="U196" s="153">
        <v>1.32</v>
      </c>
      <c r="V196" s="154" t="s">
        <v>155</v>
      </c>
      <c r="W196" s="152">
        <f t="shared" ca="1" si="64"/>
        <v>1.68</v>
      </c>
      <c r="X196" s="155">
        <f t="shared" ca="1" si="65"/>
        <v>100.8</v>
      </c>
      <c r="Y196" s="156" t="s">
        <v>244</v>
      </c>
      <c r="Z196" t="str">
        <f t="shared" ca="1" si="66"/>
        <v>RA</v>
      </c>
      <c r="AA196" s="157">
        <f ca="1">IF($C196="S",IF($Z196="CP",$X196,IF($Z196="RA",(($X196)*QCI!$AA$3),0)),SomaAgrup)</f>
        <v>100.8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str">
        <f t="shared" ca="1" si="69"/>
        <v>SINAPI-I 939</v>
      </c>
      <c r="AF196" s="160">
        <f t="shared" ca="1" si="70"/>
        <v>8669</v>
      </c>
      <c r="AG196" s="550">
        <f t="shared" ca="1" si="71"/>
        <v>1.32</v>
      </c>
      <c r="AH196" s="551">
        <f t="shared" ca="1" si="72"/>
        <v>0.27350000000000002</v>
      </c>
      <c r="AJ196" s="553">
        <v>60</v>
      </c>
      <c r="AL196" s="574"/>
      <c r="AM196" s="431">
        <f t="shared" ca="1" si="73"/>
        <v>100.8</v>
      </c>
      <c r="AN196" s="617">
        <f t="shared" ca="1" si="74"/>
        <v>1.68</v>
      </c>
    </row>
    <row r="197" spans="1:40" ht="25.5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8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10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>F</v>
      </c>
      <c r="M197" s="145" t="s">
        <v>198</v>
      </c>
      <c r="N197" s="146" t="str">
        <f t="shared" ca="1" si="60"/>
        <v>Serviço</v>
      </c>
      <c r="O197" s="147" t="str">
        <f t="shared" ca="1" si="61"/>
        <v>8.1.10.</v>
      </c>
      <c r="P197" s="148" t="s">
        <v>454</v>
      </c>
      <c r="Q197" s="149" t="s">
        <v>523</v>
      </c>
      <c r="R197" s="150" t="str">
        <f t="shared" ca="1" si="62"/>
        <v>FIO DE COBRE, SOLIDO, CLASSE 1, ISOLACAO EM PVC/A, ANTICHAMA BWF-B, 450/750V, SECAO NOMINAL 6 MM2</v>
      </c>
      <c r="S197" s="151" t="str">
        <f t="shared" ca="1" si="63"/>
        <v xml:space="preserve">M     </v>
      </c>
      <c r="T197" s="152">
        <f ca="1">OFFSET(CÁLCULO!H$15,ROW($T197)-ROW(T$15),0)</f>
        <v>50</v>
      </c>
      <c r="U197" s="153">
        <v>3.13</v>
      </c>
      <c r="V197" s="154" t="s">
        <v>155</v>
      </c>
      <c r="W197" s="152">
        <f t="shared" ca="1" si="64"/>
        <v>3.99</v>
      </c>
      <c r="X197" s="155">
        <f t="shared" ca="1" si="65"/>
        <v>199.5</v>
      </c>
      <c r="Y197" s="156" t="s">
        <v>244</v>
      </c>
      <c r="Z197" t="str">
        <f t="shared" ca="1" si="66"/>
        <v>RA</v>
      </c>
      <c r="AA197" s="157">
        <f ca="1">IF($C197="S",IF($Z197="CP",$X197,IF($Z197="RA",(($X197)*QCI!$AA$3),0)),SomaAgrup)</f>
        <v>199.5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str">
        <f t="shared" ca="1" si="69"/>
        <v>SINAPI-I 940</v>
      </c>
      <c r="AF197" s="160">
        <f t="shared" ca="1" si="70"/>
        <v>8671</v>
      </c>
      <c r="AG197" s="550">
        <f t="shared" ca="1" si="71"/>
        <v>3.13</v>
      </c>
      <c r="AH197" s="551">
        <f t="shared" ca="1" si="72"/>
        <v>0.27350000000000002</v>
      </c>
      <c r="AJ197" s="553">
        <v>50</v>
      </c>
      <c r="AL197" s="574"/>
      <c r="AM197" s="431">
        <f t="shared" ca="1" si="73"/>
        <v>199.5</v>
      </c>
      <c r="AN197" s="617">
        <f t="shared" ca="1" si="74"/>
        <v>3.99</v>
      </c>
    </row>
    <row r="198" spans="1:40" ht="25.5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8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11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>F</v>
      </c>
      <c r="M198" s="145" t="s">
        <v>198</v>
      </c>
      <c r="N198" s="146" t="str">
        <f t="shared" ca="1" si="60"/>
        <v>Serviço</v>
      </c>
      <c r="O198" s="147" t="str">
        <f t="shared" ca="1" si="61"/>
        <v>8.1.11.</v>
      </c>
      <c r="P198" s="148" t="s">
        <v>458</v>
      </c>
      <c r="Q198" s="149" t="s">
        <v>526</v>
      </c>
      <c r="R198" s="150" t="str">
        <f ca="1">IF($C198="S",REFERENCIA.Descricao,"(digite a descrição aqui)")</f>
        <v xml:space="preserve">INSTALAÇÃO DE CHUVEIRO, INCLUINDO RASGO, TUBULAÇÃO ÁGUA, INSTALAÇÃO DE ENERGIA </v>
      </c>
      <c r="S198" s="151" t="str">
        <f t="shared" ca="1" si="63"/>
        <v>M2</v>
      </c>
      <c r="T198" s="152">
        <f ca="1">OFFSET(CÁLCULO!H$15,ROW($T198)-ROW(T$15),0)</f>
        <v>5</v>
      </c>
      <c r="U198" s="153">
        <v>350</v>
      </c>
      <c r="V198" s="154" t="s">
        <v>155</v>
      </c>
      <c r="W198" s="152">
        <f t="shared" ca="1" si="64"/>
        <v>445.73</v>
      </c>
      <c r="X198" s="155">
        <f t="shared" ca="1" si="65"/>
        <v>2228.65</v>
      </c>
      <c r="Y198" s="156" t="s">
        <v>244</v>
      </c>
      <c r="Z198" t="str">
        <f t="shared" ca="1" si="66"/>
        <v>RA</v>
      </c>
      <c r="AA198" s="157">
        <f ca="1">IF($C198="S",IF($Z198="CP",$X198,IF($Z198="RA",(($X198)*QCI!$AA$3),0)),SomaAgrup)</f>
        <v>2228.65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str">
        <f t="shared" ca="1" si="69"/>
        <v>Cotação 003</v>
      </c>
      <c r="AF198" s="160">
        <f t="shared" ca="1" si="70"/>
        <v>20</v>
      </c>
      <c r="AG198" s="550">
        <f t="shared" ca="1" si="71"/>
        <v>350</v>
      </c>
      <c r="AH198" s="551">
        <f t="shared" ca="1" si="72"/>
        <v>0.27350000000000002</v>
      </c>
      <c r="AJ198" s="553">
        <v>5</v>
      </c>
      <c r="AL198" s="574"/>
      <c r="AM198" s="431">
        <f t="shared" ca="1" si="73"/>
        <v>2228.65</v>
      </c>
      <c r="AN198" s="617">
        <f t="shared" ca="1" si="74"/>
        <v>445.73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8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11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0.27350000000000002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8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11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0.27350000000000002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8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11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0.27350000000000002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x14ac:dyDescent="0.2">
      <c r="A202">
        <f t="shared" si="50"/>
        <v>1</v>
      </c>
      <c r="B202">
        <f t="shared" ca="1" si="51"/>
        <v>1</v>
      </c>
      <c r="C202">
        <f t="shared" ca="1" si="52"/>
        <v>1</v>
      </c>
      <c r="D202">
        <f t="shared" ca="1" si="53"/>
        <v>64</v>
      </c>
      <c r="E202">
        <f ca="1">IF($C202=1,OFFSET(E202,-1,0)+MAX(1,COUNTIF(QCI!$A$13:$A$24,OFFSET(ORÇAMENTO!E202,-1,0))),OFFSET(E202,-1,0))</f>
        <v>9</v>
      </c>
      <c r="F202">
        <f t="shared" ca="1" si="54"/>
        <v>0</v>
      </c>
      <c r="G202">
        <f t="shared" ca="1" si="55"/>
        <v>0</v>
      </c>
      <c r="H202">
        <f t="shared" ca="1" si="56"/>
        <v>0</v>
      </c>
      <c r="I202">
        <f t="shared" ca="1" si="57"/>
        <v>0</v>
      </c>
      <c r="J202">
        <f t="shared" ca="1" si="58"/>
        <v>64</v>
      </c>
      <c r="K202" t="e">
        <f ca="1">IF(OR($C202="S",$C202=0),0,MATCH(OFFSET($D202,0,$C202)+IF($C202&lt;&gt;1,1,COUNTIF(QCI!$A$13:$A$24,ORÇAMENTO!E202)),OFFSET($D202,1,$C202,ROW($C$266)-ROW($C202)),0))</f>
        <v>#N/A</v>
      </c>
      <c r="L202" s="144" t="str">
        <f t="shared" ca="1" si="59"/>
        <v>F</v>
      </c>
      <c r="M202" s="145" t="s">
        <v>194</v>
      </c>
      <c r="N202" s="146" t="str">
        <f t="shared" ca="1" si="60"/>
        <v>Meta</v>
      </c>
      <c r="O202" s="147" t="str">
        <f t="shared" ca="1" si="61"/>
        <v>9.</v>
      </c>
      <c r="P202" s="148" t="s">
        <v>246</v>
      </c>
      <c r="Q202" s="149"/>
      <c r="R202" s="150" t="str">
        <f ca="1">IF($C202="S",REFERENCIA.Descricao,"SERVIÇOS FINAIS")</f>
        <v>SERVIÇOS FINAIS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1910.25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1910.25</v>
      </c>
      <c r="AB202" s="158">
        <f t="shared" ca="1" si="67"/>
        <v>0</v>
      </c>
      <c r="AC202" s="159" t="str">
        <f t="shared" ca="1" si="68"/>
        <v/>
      </c>
      <c r="AD202" s="105">
        <f ca="1">IF(C202&lt;=CRONO.NivelExibicao,MAX($AD$15:OFFSET(AD202,-1,0))+IF($C202&lt;&gt;1,1,MAX(1,COUNTIF(QCI!$A$13:$A$24,OFFSET($E202,-1,0)))),"")</f>
        <v>17</v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0.27350000000000002</v>
      </c>
      <c r="AJ202" s="553"/>
      <c r="AL202" s="574"/>
      <c r="AM202" s="431">
        <f t="shared" ca="1" si="73"/>
        <v>1910.25</v>
      </c>
      <c r="AN202" s="617">
        <f t="shared" ca="1" si="74"/>
        <v>0</v>
      </c>
    </row>
    <row r="203" spans="1:40" x14ac:dyDescent="0.2">
      <c r="A203" t="str">
        <f t="shared" si="50"/>
        <v>S</v>
      </c>
      <c r="B203">
        <f t="shared" ca="1" si="51"/>
        <v>2</v>
      </c>
      <c r="C203">
        <f t="shared" ca="1" si="52"/>
        <v>2</v>
      </c>
      <c r="D203">
        <f t="shared" ca="1" si="53"/>
        <v>63</v>
      </c>
      <c r="E203">
        <f ca="1">IF($C203=1,OFFSET(E203,-1,0)+MAX(1,COUNTIF(QCI!$A$13:$A$24,OFFSET(ORÇAMENTO!E203,-1,0))),OFFSET(E203,-1,0))</f>
        <v>9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0</v>
      </c>
      <c r="J203">
        <f t="shared" ca="1" si="58"/>
        <v>63</v>
      </c>
      <c r="K203" t="e">
        <f ca="1">IF(OR($C203="S",$C203=0),0,MATCH(OFFSET($D203,0,$C203)+IF($C203&lt;&gt;1,1,COUNTIF(QCI!$A$13:$A$24,ORÇAMENTO!E203)),OFFSET($D203,1,$C203,ROW($C$266)-ROW($C203)),0))</f>
        <v>#N/A</v>
      </c>
      <c r="L203" s="144" t="str">
        <f t="shared" ca="1" si="59"/>
        <v>F</v>
      </c>
      <c r="M203" s="145" t="s">
        <v>198</v>
      </c>
      <c r="N203" s="146" t="str">
        <f t="shared" ca="1" si="60"/>
        <v>Nível 2</v>
      </c>
      <c r="O203" s="147" t="str">
        <f t="shared" ca="1" si="61"/>
        <v>9.1.</v>
      </c>
      <c r="P203" s="148" t="s">
        <v>246</v>
      </c>
      <c r="Q203" s="149"/>
      <c r="R203" s="150" t="str">
        <f t="shared" ca="1" si="62"/>
        <v>(digite a descrição aqui)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1910.25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1910.25</v>
      </c>
      <c r="AB203" s="158">
        <f t="shared" ca="1" si="67"/>
        <v>0</v>
      </c>
      <c r="AC203" s="159" t="str">
        <f t="shared" ca="1" si="68"/>
        <v/>
      </c>
      <c r="AD203" s="105">
        <f ca="1">IF(C203&lt;=CRONO.NivelExibicao,MAX($AD$15:OFFSET(AD203,-1,0))+IF($C203&lt;&gt;1,1,MAX(1,COUNTIF(QCI!$A$13:$A$24,OFFSET($E203,-1,0)))),"")</f>
        <v>18</v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0.27350000000000002</v>
      </c>
      <c r="AJ203" s="553"/>
      <c r="AL203" s="574"/>
      <c r="AM203" s="431">
        <f t="shared" ca="1" si="73"/>
        <v>1910.25</v>
      </c>
      <c r="AN203" s="617">
        <f t="shared" ca="1" si="74"/>
        <v>0</v>
      </c>
    </row>
    <row r="204" spans="1:40" ht="25.5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9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>F</v>
      </c>
      <c r="M204" s="145" t="s">
        <v>198</v>
      </c>
      <c r="N204" s="146" t="str">
        <f t="shared" ca="1" si="60"/>
        <v>Serviço</v>
      </c>
      <c r="O204" s="147" t="str">
        <f t="shared" ca="1" si="61"/>
        <v>9.1.1.</v>
      </c>
      <c r="P204" s="148" t="s">
        <v>458</v>
      </c>
      <c r="Q204" s="149" t="s">
        <v>517</v>
      </c>
      <c r="R204" s="150" t="str">
        <f t="shared" ca="1" si="62"/>
        <v>LIMPEZA FINAL DE OBRA, INTERNA EXTERNA, INCLUINDO LIMPEZA DE VIDRO , PAREDESE TETO</v>
      </c>
      <c r="S204" s="151" t="str">
        <f t="shared" ca="1" si="63"/>
        <v>UNIDADE</v>
      </c>
      <c r="T204" s="152">
        <f ca="1">OFFSET(CÁLCULO!H$15,ROW($T204)-ROW(T$15),0)</f>
        <v>1</v>
      </c>
      <c r="U204" s="153">
        <v>1500</v>
      </c>
      <c r="V204" s="154" t="s">
        <v>155</v>
      </c>
      <c r="W204" s="152">
        <f t="shared" ca="1" si="64"/>
        <v>1910.25</v>
      </c>
      <c r="X204" s="155">
        <f t="shared" ca="1" si="65"/>
        <v>1910.25</v>
      </c>
      <c r="Y204" s="156" t="s">
        <v>244</v>
      </c>
      <c r="Z204" t="str">
        <f t="shared" ca="1" si="66"/>
        <v>RA</v>
      </c>
      <c r="AA204" s="157">
        <f ca="1">IF($C204="S",IF($Z204="CP",$X204,IF($Z204="RA",(($X204)*QCI!$AA$3),0)),SomaAgrup)</f>
        <v>1910.25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str">
        <f t="shared" ca="1" si="69"/>
        <v>Cotação 009</v>
      </c>
      <c r="AF204" s="160">
        <f t="shared" ca="1" si="70"/>
        <v>26</v>
      </c>
      <c r="AG204" s="550">
        <f t="shared" ca="1" si="71"/>
        <v>1500</v>
      </c>
      <c r="AH204" s="551">
        <f t="shared" ca="1" si="72"/>
        <v>0.27350000000000002</v>
      </c>
      <c r="AJ204" s="553">
        <v>1</v>
      </c>
      <c r="AL204" s="574"/>
      <c r="AM204" s="431">
        <f t="shared" ca="1" si="73"/>
        <v>1910.25</v>
      </c>
      <c r="AN204" s="617">
        <f t="shared" ca="1" si="74"/>
        <v>1910.25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9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0.27350000000000002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9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0.27350000000000002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9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0.27350000000000002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9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9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0.27350000000000002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9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0.27350000000000002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9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0.27350000000000002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9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0.27350000000000002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9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0.27350000000000002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9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0.27350000000000002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9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0.27350000000000002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9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0.27350000000000002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9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0.27350000000000002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9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0.27350000000000002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9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0.27350000000000002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9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0.27350000000000002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9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0.27350000000000002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9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0.27350000000000002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9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0.27350000000000002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9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0.27350000000000002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9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0.27350000000000002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9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0.27350000000000002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9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0.27350000000000002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9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0.27350000000000002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9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0.27350000000000002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9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0.27350000000000002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9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0.27350000000000002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9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0.27350000000000002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9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0.27350000000000002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9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0.27350000000000002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9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0.27350000000000002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9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0.27350000000000002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9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0.27350000000000002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9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0.27350000000000002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9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0.27350000000000002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9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/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>DESCRIÇÃO</v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0.27350000000000002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9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0.27350000000000002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9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0.27350000000000002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9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0.27350000000000002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9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0.27350000000000002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9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0.27350000000000002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9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0.27350000000000002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9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0.27350000000000002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9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0.27350000000000002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9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0.27350000000000002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9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0.27350000000000002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9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0.27350000000000002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9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0.27350000000000002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9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0.27350000000000002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9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0.27350000000000002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9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0.27350000000000002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9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0.27350000000000002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9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0.27350000000000002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9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0.27350000000000002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9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0.27350000000000002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9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0.27350000000000002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9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0.27350000000000002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9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0.27350000000000002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9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0.27350000000000002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9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0.27350000000000002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9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0.27350000000000002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CÉU AZUL-PR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43788</v>
      </c>
      <c r="P282" s="700"/>
      <c r="Q282" s="700"/>
      <c r="R282" s="105"/>
      <c r="S282" s="95" t="s">
        <v>108</v>
      </c>
      <c r="T282" s="96" t="str">
        <v>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Y187:Y195 AG187:AH195 S187:T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61" activePane="bottomRight" state="frozen"/>
      <selection activeCell="C1" sqref="C1"/>
      <selection pane="topRight" activeCell="I1" sqref="I1"/>
      <selection pane="bottomLeft" activeCell="C16" sqref="C16"/>
      <selection pane="bottomRight" activeCell="L69" sqref="L69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MEMÓRIA DE CÁLCULO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 xml:space="preserve">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440</v>
      </c>
      <c r="H4" s="683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Ampliação e adequação do  cemei Raio de Sol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MUNICIPIO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 t="str">
        <f>Import.DescLote</f>
        <v>lotes 04 e 05 quadra 13 , bairro são cristovao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serviços iniciais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(digite a descrição aqui)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EM CHAPA DE ACO GALVANIZADO</v>
      </c>
      <c r="G18" s="208" t="str">
        <f ca="1">IF($D18&lt;&gt;"Serviço","",OFFSET(ORÇAMENTO!S$15,ROW(G18)-ROW(G$15),0))</f>
        <v>M2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(digite a descrição aqui)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38.2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LOCACAO CONVENCIONAL DE OBRA, UTILIZANDO GABARITO DE TÁBUAS CORRIDAS PONTALETADAS A CADA 2,00M -  2 UTILIZAÇÕES. AF_10/2018</v>
      </c>
      <c r="G19" s="208" t="str">
        <f ca="1">IF($D19&lt;&gt;"Serviço","",OFFSET(ORÇAMENTO!S$15,ROW(G19)-ROW(G$15),0))</f>
        <v>M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35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(digite a descrição aqui)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(Sem Código)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(digite a descrição aqui)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(Sem Código)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(digite a descrição aqui)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/>
      </c>
      <c r="D22" s="146" t="str">
        <f ca="1">OFFSET(ORÇAMENTO!N$15,ROW(D22)-ROW(D$15),0)</f>
        <v>Serviço</v>
      </c>
      <c r="E22" s="206" t="str">
        <f ca="1">OFFSET(ORÇAMENTO!O$15,ROW(E22)-ROW(E$15),0)</f>
        <v>-</v>
      </c>
      <c r="F22" s="207" t="str">
        <f ca="1">OFFSET(ORÇAMENTO!R$15,ROW(F22)-ROW(F$15),0)</f>
        <v>(Sem Código)</v>
      </c>
      <c r="G22" s="208" t="str">
        <f ca="1">IF($D22&lt;&gt;"Serviço","",OFFSET(ORÇAMENTO!S$15,ROW(G22)-ROW(G$15),0))</f>
        <v>-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(digite a descrição aqui)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/>
      </c>
      <c r="D23" s="146" t="str">
        <f ca="1">OFFSET(ORÇAMENTO!N$15,ROW(D23)-ROW(D$15),0)</f>
        <v>Serviço</v>
      </c>
      <c r="E23" s="206" t="str">
        <f ca="1">OFFSET(ORÇAMENTO!O$15,ROW(E23)-ROW(E$15),0)</f>
        <v>-</v>
      </c>
      <c r="F23" s="207" t="str">
        <f ca="1">OFFSET(ORÇAMENTO!R$15,ROW(F23)-ROW(F$15),0)</f>
        <v>(Sem Código)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(digite a descrição aqui)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/>
      </c>
      <c r="D24" s="146" t="str">
        <f ca="1">OFFSET(ORÇAMENTO!N$15,ROW(D24)-ROW(D$15),0)</f>
        <v>Serviço</v>
      </c>
      <c r="E24" s="206" t="str">
        <f ca="1">OFFSET(ORÇAMENTO!O$15,ROW(E24)-ROW(E$15),0)</f>
        <v>-</v>
      </c>
      <c r="F24" s="207" t="str">
        <f ca="1">OFFSET(ORÇAMENTO!R$15,ROW(F24)-ROW(F$15),0)</f>
        <v>(Sem Código)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0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2" t="str">
        <f ca="1">IF($D24&lt;&gt;"Serviço","",IF(AUTOEVENTO="Manual",IF($A24=0,"&lt;-- defina o número do agrupador",OFFSET(EVENTOS!$D$14,$A24,0)),OFFSET($F$15,$A24,0)))</f>
        <v>(digite a descrição aqui)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6" t="str">
        <f ca="1">OFFSET(ORÇAMENTO!N$15,ROW(D25)-ROW(D$15),0)</f>
        <v>Serviço</v>
      </c>
      <c r="E25" s="206" t="str">
        <f ca="1">OFFSET(ORÇAMENTO!O$15,ROW(E25)-ROW(E$15),0)</f>
        <v>-</v>
      </c>
      <c r="F25" s="207" t="str">
        <f ca="1">OFFSET(ORÇAMENTO!R$15,ROW(F25)-ROW(F$15),0)</f>
        <v>(Sem Código)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2" t="str">
        <f ca="1">IF($D25&lt;&gt;"Serviço","",IF(AUTOEVENTO="Manual",IF($A25=0,"&lt;-- defina o número do agrupador",OFFSET(EVENTOS!$D$14,$A25,0)),OFFSET($F$15,$A25,0)))</f>
        <v>(digite a descrição aqui)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9" t="str">
        <f t="shared" ca="1" si="8"/>
        <v>11.</v>
      </c>
      <c r="B26" s="9">
        <f ca="1">OFFSET(ORÇAMENTO!C$15,ROW(B26)-ROW(B$15),0)</f>
        <v>1</v>
      </c>
      <c r="C26" s="9" t="str">
        <f ca="1">OFFSET(ORÇAMENTO!L$15,ROW(C26)-ROW(C$15),0)</f>
        <v>F</v>
      </c>
      <c r="D26" s="146" t="str">
        <f ca="1">OFFSET(ORÇAMENTO!N$15,ROW(D26)-ROW(D$15),0)</f>
        <v>Meta</v>
      </c>
      <c r="E26" s="206" t="str">
        <f ca="1">OFFSET(ORÇAMENTO!O$15,ROW(E26)-ROW(E$15),0)</f>
        <v>2.</v>
      </c>
      <c r="F26" s="207" t="str">
        <f ca="1">OFFSET(ORÇAMENTO!R$15,ROW(F26)-ROW(F$15),0)</f>
        <v>piso</v>
      </c>
      <c r="G26" s="208" t="str">
        <f ca="1">IF($D26&lt;&gt;"Serviço","",OFFSET(ORÇAMENTO!S$15,ROW(G26)-ROW(G$15),0))</f>
        <v/>
      </c>
      <c r="H26" s="152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2"/>
      <c r="K26" s="209"/>
      <c r="L26" s="210" t="s">
        <v>254</v>
      </c>
      <c r="M26" s="211" t="str">
        <f ca="1">IF($D26&lt;&gt;"Serviço","",IF(AUTOEVENTO="manual",$A26,IF(ISERROR(MATCH($A26,$A$15:OFFSET($A26,-1,0),0)),MAX($M$15:OFFSET(M26,-1,0))+1,INDEX($M$15:OFFSET(M26,-1,0),MATCH($A26,$A$15:OFFSET($A26,-1,0),0)))))</f>
        <v/>
      </c>
      <c r="N26" s="212" t="str">
        <f ca="1">IF($D26&lt;&gt;"Serviço","",IF(AUTOEVENTO="Manual",IF($A26=0,"&lt;-- defina o número do agrupador",OFFSET(EVENTOS!$D$14,$A26,0)),OFFSET($F$15,$A26,0)))</f>
        <v/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0</v>
      </c>
      <c r="AN26" s="216">
        <f ca="1">IF($D26&lt;&gt;"Serviço",0,IF(AND(AUTOEVENTO="Manual",$M26=1),0,IF(OFFSET(CRONOPLE!$F$14,$M26,AN$13)="",10^12,OFFSET(CRONOPLE!$F$14,$M26,AN$13))))</f>
        <v>0</v>
      </c>
      <c r="AO26" s="216">
        <f ca="1">IF($D26&lt;&gt;"Serviço",0,IF(AND(AUTOEVENTO="Manual",$M26=1),0,IF(OFFSET(CRONOPLE!$F$14,$M26,AO$13)="",10^12,OFFSET(CRONOPLE!$F$14,$M26,AO$13))))</f>
        <v>0</v>
      </c>
      <c r="AP26" s="216">
        <f ca="1">IF($D26&lt;&gt;"Serviço",0,IF(AND(AUTOEVENTO="Manual",$M26=1),0,IF(OFFSET(CRONOPLE!$F$14,$M26,AP$13)="",10^12,OFFSET(CRONOPLE!$F$14,$M26,AP$13))))</f>
        <v>0</v>
      </c>
      <c r="AQ26" s="216">
        <f ca="1">IF($D26&lt;&gt;"Serviço",0,IF(AND(AUTOEVENTO="Manual",$M26=1),0,IF(OFFSET(CRONOPLE!$F$14,$M26,AQ$13)="",10^12,OFFSET(CRONOPLE!$F$14,$M26,AQ$13))))</f>
        <v>0</v>
      </c>
      <c r="AR26" s="216">
        <f ca="1">IF($D26&lt;&gt;"Serviço",0,IF(AND(AUTOEVENTO="Manual",$M26=1),0,IF(OFFSET(CRONOPLE!$F$14,$M26,AR$13)="",10^12,OFFSET(CRONOPLE!$F$14,$M26,AR$13))))</f>
        <v>0</v>
      </c>
      <c r="AS26" s="216">
        <f ca="1">IF($D26&lt;&gt;"Serviço",0,IF(AND(AUTOEVENTO="Manual",$M26=1),0,IF(OFFSET(CRONOPLE!$F$14,$M26,AS$13)="",10^12,OFFSET(CRONOPLE!$F$14,$M26,AS$13))))</f>
        <v>0</v>
      </c>
      <c r="AT26" s="216">
        <f ca="1">IF($D26&lt;&gt;"Serviço",0,IF(AND(AUTOEVENTO="Manual",$M26=1),0,IF(OFFSET(CRONOPLE!$F$14,$M26,AT$13)="",10^12,OFFSET(CRONOPLE!$F$14,$M26,AT$13))))</f>
        <v>0</v>
      </c>
      <c r="AU26" s="216">
        <f ca="1">IF($D26&lt;&gt;"Serviço",0,IF(AND(AUTOEVENTO="Manual",$M26=1),0,IF(OFFSET(CRONOPLE!$F$14,$M26,AU$13)="",10^12,OFFSET(CRONOPLE!$F$14,$M26,AU$13))))</f>
        <v>0</v>
      </c>
      <c r="AV26" s="216">
        <f ca="1">IF($D26&lt;&gt;"Serviço",0,IF(AND(AUTOEVENTO="Manual",$M26=1),0,IF(OFFSET(CRONOPLE!$F$14,$M26,AV$13)="",10^12,OFFSET(CRONOPLE!$F$14,$M26,AV$13))))</f>
        <v>0</v>
      </c>
      <c r="AX26" s="217">
        <f ca="1">IF($D26&lt;&gt;"Serviço",0,IF(OR(AND(AUTOEVENTO="Manual",$M26=1),$M26&gt;(ROW(PLE.lastrow)-ROW(PLE.firstrow))),0,IF(OFFSET(PLE!$G$14,$M26,AX$13)="",10^12,OFFSET(PLE!$G$14,$M26,AX$13))))</f>
        <v>0</v>
      </c>
      <c r="AY26" s="217">
        <f ca="1">IF($D26&lt;&gt;"Serviço",0,IF(OR(AND(AUTOEVENTO="Manual",$M26=1),$M26&gt;(ROW(PLE.lastrow)-ROW(PLE.firstrow))),0,IF(OFFSET(PLE!$G$14,$M26,AY$13)="",10^12,OFFSET(PLE!$G$14,$M26,AY$13))))</f>
        <v>0</v>
      </c>
      <c r="AZ26" s="217">
        <f ca="1">IF($D26&lt;&gt;"Serviço",0,IF(OR(AND(AUTOEVENTO="Manual",$M26=1),$M26&gt;(ROW(PLE.lastrow)-ROW(PLE.firstrow))),0,IF(OFFSET(PLE!$G$14,$M26,AZ$13)="",10^12,OFFSET(PLE!$G$14,$M26,AZ$13))))</f>
        <v>0</v>
      </c>
      <c r="BA26" s="217">
        <f ca="1">IF($D26&lt;&gt;"Serviço",0,IF(OR(AND(AUTOEVENTO="Manual",$M26=1),$M26&gt;(ROW(PLE.lastrow)-ROW(PLE.firstrow))),0,IF(OFFSET(PLE!$G$14,$M26,BA$13)="",10^12,OFFSET(PLE!$G$14,$M26,BA$13))))</f>
        <v>0</v>
      </c>
      <c r="BB26" s="217">
        <f ca="1">IF($D26&lt;&gt;"Serviço",0,IF(OR(AND(AUTOEVENTO="Manual",$M26=1),$M26&gt;(ROW(PLE.lastrow)-ROW(PLE.firstrow))),0,IF(OFFSET(PLE!$G$14,$M26,BB$13)="",10^12,OFFSET(PLE!$G$14,$M26,BB$13))))</f>
        <v>0</v>
      </c>
      <c r="BC26" s="217">
        <f ca="1">IF($D26&lt;&gt;"Serviço",0,IF(OR(AND(AUTOEVENTO="Manual",$M26=1),$M26&gt;(ROW(PLE.lastrow)-ROW(PLE.firstrow))),0,IF(OFFSET(PLE!$G$14,$M26,BC$13)="",10^12,OFFSET(PLE!$G$14,$M26,BC$13))))</f>
        <v>0</v>
      </c>
      <c r="BD26" s="217">
        <f ca="1">IF($D26&lt;&gt;"Serviço",0,IF(OR(AND(AUTOEVENTO="Manual",$M26=1),$M26&gt;(ROW(PLE.lastrow)-ROW(PLE.firstrow))),0,IF(OFFSET(PLE!$G$14,$M26,BD$13)="",10^12,OFFSET(PLE!$G$14,$M26,BD$13))))</f>
        <v>0</v>
      </c>
      <c r="BE26" s="217">
        <f ca="1">IF($D26&lt;&gt;"Serviço",0,IF(OR(AND(AUTOEVENTO="Manual",$M26=1),$M26&gt;(ROW(PLE.lastrow)-ROW(PLE.firstrow))),0,IF(OFFSET(PLE!$G$14,$M26,BE$13)="",10^12,OFFSET(PLE!$G$14,$M26,BE$13))))</f>
        <v>0</v>
      </c>
      <c r="BF26" s="217">
        <f ca="1">IF($D26&lt;&gt;"Serviço",0,IF(OR(AND(AUTOEVENTO="Manual",$M26=1),$M26&gt;(ROW(PLE.lastrow)-ROW(PLE.firstrow))),0,IF(OFFSET(PLE!$G$14,$M26,BF$13)="",10^12,OFFSET(PLE!$G$14,$M26,BF$13))))</f>
        <v>0</v>
      </c>
      <c r="BG26" s="217">
        <f ca="1">IF($D26&lt;&gt;"Serviço",0,IF(OR(AND(AUTOEVENTO="Manual",$M26=1),$M26&gt;(ROW(PLE.lastrow)-ROW(PLE.firstrow))),0,IF(OFFSET(PLE!$G$14,$M26,BG$13)="",10^12,OFFSET(PLE!$G$14,$M26,BG$13))))</f>
        <v>0</v>
      </c>
    </row>
    <row r="27" spans="1:59" ht="12.75" x14ac:dyDescent="0.2">
      <c r="A27" s="9" t="str">
        <f t="shared" ca="1" si="8"/>
        <v>12.</v>
      </c>
      <c r="B27" s="9">
        <f ca="1">OFFSET(ORÇAMENTO!C$15,ROW(B27)-ROW(B$15),0)</f>
        <v>2</v>
      </c>
      <c r="C27" s="9" t="str">
        <f ca="1">OFFSET(ORÇAMENTO!L$15,ROW(C27)-ROW(C$15),0)</f>
        <v>F</v>
      </c>
      <c r="D27" s="146" t="str">
        <f ca="1">OFFSET(ORÇAMENTO!N$15,ROW(D27)-ROW(D$15),0)</f>
        <v>Nível 2</v>
      </c>
      <c r="E27" s="206" t="str">
        <f ca="1">OFFSET(ORÇAMENTO!O$15,ROW(E27)-ROW(E$15),0)</f>
        <v>2.1.</v>
      </c>
      <c r="F27" s="207" t="str">
        <f ca="1">OFFSET(ORÇAMENTO!R$15,ROW(F27)-ROW(F$15),0)</f>
        <v>(digite a descrição aqui)</v>
      </c>
      <c r="G27" s="208" t="str">
        <f ca="1">IF($D27&lt;&gt;"Serviço","",OFFSET(ORÇAMENTO!S$15,ROW(G27)-ROW(G$15),0))</f>
        <v/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 t="str">
        <f ca="1">IF($D27&lt;&gt;"Serviço","",IF(AUTOEVENTO="manual",$A27,IF(ISERROR(MATCH($A27,$A$15:OFFSET($A27,-1,0),0)),MAX($M$15:OFFSET(M27,-1,0))+1,INDEX($M$15:OFFSET(M27,-1,0),MATCH($A27,$A$15:OFFSET($A27,-1,0),0)))))</f>
        <v/>
      </c>
      <c r="N27" s="212" t="str">
        <f ca="1">IF($D27&lt;&gt;"Serviço","",IF(AUTOEVENTO="Manual",IF($A27=0,"&lt;-- defina o número do agrupador",OFFSET(EVENTOS!$D$14,$A27,0)),OFFSET($F$15,$A27,0)))</f>
        <v/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0</v>
      </c>
      <c r="AN27" s="216">
        <f ca="1">IF($D27&lt;&gt;"Serviço",0,IF(AND(AUTOEVENTO="Manual",$M27=1),0,IF(OFFSET(CRONOPLE!$F$14,$M27,AN$13)="",10^12,OFFSET(CRONOPLE!$F$14,$M27,AN$13))))</f>
        <v>0</v>
      </c>
      <c r="AO27" s="216">
        <f ca="1">IF($D27&lt;&gt;"Serviço",0,IF(AND(AUTOEVENTO="Manual",$M27=1),0,IF(OFFSET(CRONOPLE!$F$14,$M27,AO$13)="",10^12,OFFSET(CRONOPLE!$F$14,$M27,AO$13))))</f>
        <v>0</v>
      </c>
      <c r="AP27" s="216">
        <f ca="1">IF($D27&lt;&gt;"Serviço",0,IF(AND(AUTOEVENTO="Manual",$M27=1),0,IF(OFFSET(CRONOPLE!$F$14,$M27,AP$13)="",10^12,OFFSET(CRONOPLE!$F$14,$M27,AP$13))))</f>
        <v>0</v>
      </c>
      <c r="AQ27" s="216">
        <f ca="1">IF($D27&lt;&gt;"Serviço",0,IF(AND(AUTOEVENTO="Manual",$M27=1),0,IF(OFFSET(CRONOPLE!$F$14,$M27,AQ$13)="",10^12,OFFSET(CRONOPLE!$F$14,$M27,AQ$13))))</f>
        <v>0</v>
      </c>
      <c r="AR27" s="216">
        <f ca="1">IF($D27&lt;&gt;"Serviço",0,IF(AND(AUTOEVENTO="Manual",$M27=1),0,IF(OFFSET(CRONOPLE!$F$14,$M27,AR$13)="",10^12,OFFSET(CRONOPLE!$F$14,$M27,AR$13))))</f>
        <v>0</v>
      </c>
      <c r="AS27" s="216">
        <f ca="1">IF($D27&lt;&gt;"Serviço",0,IF(AND(AUTOEVENTO="Manual",$M27=1),0,IF(OFFSET(CRONOPLE!$F$14,$M27,AS$13)="",10^12,OFFSET(CRONOPLE!$F$14,$M27,AS$13))))</f>
        <v>0</v>
      </c>
      <c r="AT27" s="216">
        <f ca="1">IF($D27&lt;&gt;"Serviço",0,IF(AND(AUTOEVENTO="Manual",$M27=1),0,IF(OFFSET(CRONOPLE!$F$14,$M27,AT$13)="",10^12,OFFSET(CRONOPLE!$F$14,$M27,AT$13))))</f>
        <v>0</v>
      </c>
      <c r="AU27" s="216">
        <f ca="1">IF($D27&lt;&gt;"Serviço",0,IF(AND(AUTOEVENTO="Manual",$M27=1),0,IF(OFFSET(CRONOPLE!$F$14,$M27,AU$13)="",10^12,OFFSET(CRONOPLE!$F$14,$M27,AU$13))))</f>
        <v>0</v>
      </c>
      <c r="AV27" s="216">
        <f ca="1">IF($D27&lt;&gt;"Serviço",0,IF(AND(AUTOEVENTO="Manual",$M27=1),0,IF(OFFSET(CRONOPLE!$F$14,$M27,AV$13)="",10^12,OFFSET(CRONOPLE!$F$14,$M27,AV$13))))</f>
        <v>0</v>
      </c>
      <c r="AX27" s="217">
        <f ca="1">IF($D27&lt;&gt;"Serviço",0,IF(OR(AND(AUTOEVENTO="Manual",$M27=1),$M27&gt;(ROW(PLE.lastrow)-ROW(PLE.firstrow))),0,IF(OFFSET(PLE!$G$14,$M27,AX$13)="",10^12,OFFSET(PLE!$G$14,$M27,AX$13))))</f>
        <v>0</v>
      </c>
      <c r="AY27" s="217">
        <f ca="1">IF($D27&lt;&gt;"Serviço",0,IF(OR(AND(AUTOEVENTO="Manual",$M27=1),$M27&gt;(ROW(PLE.lastrow)-ROW(PLE.firstrow))),0,IF(OFFSET(PLE!$G$14,$M27,AY$13)="",10^12,OFFSET(PLE!$G$14,$M27,AY$13))))</f>
        <v>0</v>
      </c>
      <c r="AZ27" s="217">
        <f ca="1">IF($D27&lt;&gt;"Serviço",0,IF(OR(AND(AUTOEVENTO="Manual",$M27=1),$M27&gt;(ROW(PLE.lastrow)-ROW(PLE.firstrow))),0,IF(OFFSET(PLE!$G$14,$M27,AZ$13)="",10^12,OFFSET(PLE!$G$14,$M27,AZ$13))))</f>
        <v>0</v>
      </c>
      <c r="BA27" s="217">
        <f ca="1">IF($D27&lt;&gt;"Serviço",0,IF(OR(AND(AUTOEVENTO="Manual",$M27=1),$M27&gt;(ROW(PLE.lastrow)-ROW(PLE.firstrow))),0,IF(OFFSET(PLE!$G$14,$M27,BA$13)="",10^12,OFFSET(PLE!$G$14,$M27,BA$13))))</f>
        <v>0</v>
      </c>
      <c r="BB27" s="217">
        <f ca="1">IF($D27&lt;&gt;"Serviço",0,IF(OR(AND(AUTOEVENTO="Manual",$M27=1),$M27&gt;(ROW(PLE.lastrow)-ROW(PLE.firstrow))),0,IF(OFFSET(PLE!$G$14,$M27,BB$13)="",10^12,OFFSET(PLE!$G$14,$M27,BB$13))))</f>
        <v>0</v>
      </c>
      <c r="BC27" s="217">
        <f ca="1">IF($D27&lt;&gt;"Serviço",0,IF(OR(AND(AUTOEVENTO="Manual",$M27=1),$M27&gt;(ROW(PLE.lastrow)-ROW(PLE.firstrow))),0,IF(OFFSET(PLE!$G$14,$M27,BC$13)="",10^12,OFFSET(PLE!$G$14,$M27,BC$13))))</f>
        <v>0</v>
      </c>
      <c r="BD27" s="217">
        <f ca="1">IF($D27&lt;&gt;"Serviço",0,IF(OR(AND(AUTOEVENTO="Manual",$M27=1),$M27&gt;(ROW(PLE.lastrow)-ROW(PLE.firstrow))),0,IF(OFFSET(PLE!$G$14,$M27,BD$13)="",10^12,OFFSET(PLE!$G$14,$M27,BD$13))))</f>
        <v>0</v>
      </c>
      <c r="BE27" s="217">
        <f ca="1">IF($D27&lt;&gt;"Serviço",0,IF(OR(AND(AUTOEVENTO="Manual",$M27=1),$M27&gt;(ROW(PLE.lastrow)-ROW(PLE.firstrow))),0,IF(OFFSET(PLE!$G$14,$M27,BE$13)="",10^12,OFFSET(PLE!$G$14,$M27,BE$13))))</f>
        <v>0</v>
      </c>
      <c r="BF27" s="217">
        <f ca="1">IF($D27&lt;&gt;"Serviço",0,IF(OR(AND(AUTOEVENTO="Manual",$M27=1),$M27&gt;(ROW(PLE.lastrow)-ROW(PLE.firstrow))),0,IF(OFFSET(PLE!$G$14,$M27,BF$13)="",10^12,OFFSET(PLE!$G$14,$M27,BF$13))))</f>
        <v>0</v>
      </c>
      <c r="BG27" s="217">
        <f ca="1">IF($D27&lt;&gt;"Serviço",0,IF(OR(AND(AUTOEVENTO="Manual",$M27=1),$M27&gt;(ROW(PLE.lastrow)-ROW(PLE.firstrow))),0,IF(OFFSET(PLE!$G$14,$M27,BG$13)="",10^12,OFFSET(PLE!$G$14,$M27,BG$13))))</f>
        <v>0</v>
      </c>
    </row>
    <row r="28" spans="1:59" ht="38.25" x14ac:dyDescent="0.2">
      <c r="A28" s="9" t="str">
        <f t="shared" ca="1" si="8"/>
        <v>12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2.1.1.</v>
      </c>
      <c r="F28" s="207" t="str">
        <f ca="1">OFFSET(ORÇAMENTO!R$15,ROW(F28)-ROW(F$15),0)</f>
        <v>CONTRAPISO EM ARGAMASSA TRAÇO 1:4 (CIMENTO E AREIA), PREPARO MECÂNICO COM BETONEIRA 400 L, APLICADO EM ÁREAS SECAS SOBRE LAJE, NÃO ADERIDO, ESPESSURA 5CM. AF_06/2014</v>
      </c>
      <c r="G28" s="208" t="str">
        <f ca="1">IF($D28&lt;&gt;"Serviço","",OFFSET(ORÇAMENTO!S$15,ROW(G28)-ROW(G$15),0))</f>
        <v>M2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270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(digite a descrição aqui)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12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2.1.2.</v>
      </c>
      <c r="F29" s="207" t="str">
        <f ca="1">OFFSET(ORÇAMENTO!R$15,ROW(F29)-ROW(F$15),0)</f>
        <v>REGULARIZAÇÃO DE SUPERFICIE DE CONCRETO APARENTE</v>
      </c>
      <c r="G29" s="208" t="str">
        <f ca="1">IF($D29&lt;&gt;"Serviço","",OFFSET(ORÇAMENTO!S$15,ROW(G29)-ROW(G$15),0))</f>
        <v>M2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270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(digite a descrição aqui)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38.25" x14ac:dyDescent="0.2">
      <c r="A30" s="9" t="str">
        <f t="shared" ca="1" si="8"/>
        <v>12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6" t="str">
        <f ca="1">OFFSET(ORÇAMENTO!N$15,ROW(D30)-ROW(D$15),0)</f>
        <v>Serviço</v>
      </c>
      <c r="E30" s="206" t="str">
        <f ca="1">OFFSET(ORÇAMENTO!O$15,ROW(E30)-ROW(E$15),0)</f>
        <v>2.1.3.</v>
      </c>
      <c r="F30" s="207" t="str">
        <f ca="1">OFFSET(ORÇAMENTO!R$15,ROW(F30)-ROW(F$15),0)</f>
        <v>REVESTIMENTO CERÂMICO PARA PISO COM PLACAS TIPO ESMALTADA EXTRA DE DIMENSÕES 35X35 CM APLICADA EM AMBIENTES DE ÁREA MAIOR QUE 10 M2. AF_06/2014</v>
      </c>
      <c r="G30" s="208" t="str">
        <f ca="1">IF($D30&lt;&gt;"Serviço","",OFFSET(ORÇAMENTO!S$15,ROW(G30)-ROW(G$15),0))</f>
        <v>M2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40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(digite a descrição aqui)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12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2.1.4.</v>
      </c>
      <c r="F31" s="207" t="str">
        <f ca="1">OFFSET(ORÇAMENTO!R$15,ROW(F31)-ROW(F$15),0)</f>
        <v>REJUNTE EPOXI BRANCO</v>
      </c>
      <c r="G31" s="208" t="str">
        <f ca="1">IF($D31&lt;&gt;"Serviço","",OFFSET(ORÇAMENTO!S$15,ROW(G31)-ROW(G$15),0))</f>
        <v xml:space="preserve">KG    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15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(digite a descrição aqui)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25.5" x14ac:dyDescent="0.2">
      <c r="A32" s="9" t="str">
        <f t="shared" ca="1" si="8"/>
        <v>12</v>
      </c>
      <c r="B32" s="9" t="str">
        <f ca="1">OFFSET(ORÇAMENTO!C$15,ROW(B32)-ROW(B$15),0)</f>
        <v>S</v>
      </c>
      <c r="C32" s="9" t="str">
        <f ca="1">OFFSET(ORÇAMENTO!L$15,ROW(C32)-ROW(C$15),0)</f>
        <v>F</v>
      </c>
      <c r="D32" s="146" t="str">
        <f ca="1">OFFSET(ORÇAMENTO!N$15,ROW(D32)-ROW(D$15),0)</f>
        <v>Serviço</v>
      </c>
      <c r="E32" s="206" t="str">
        <f ca="1">OFFSET(ORÇAMENTO!O$15,ROW(E32)-ROW(E$15),0)</f>
        <v>2.1.5.</v>
      </c>
      <c r="F32" s="207" t="str">
        <f ca="1">OFFSET(ORÇAMENTO!R$15,ROW(F32)-ROW(F$15),0)</f>
        <v>RODAPÉ CERÂMICO DE 7CM DE ALTURA COM PLACAS TIPO ESMALTADA EXTRA  DE DIMENSÕES 35X35CM. AF_06/2014</v>
      </c>
      <c r="G32" s="208" t="str">
        <f ca="1">IF($D32&lt;&gt;"Serviço","",OFFSET(ORÇAMENTO!S$15,ROW(G32)-ROW(G$15),0))</f>
        <v>M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57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(digite a descrição aqui)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12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(digite a descrição aqui)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12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 t="str">
        <f ca="1">IF($D34&lt;&gt;"Serviço","",IF(AUTOEVENTO="Manual",IF($A34=0,"&lt;-- defina o número do agrupador",OFFSET(EVENTOS!$D$14,$A34,0)),OFFSET($F$15,$A34,0)))</f>
        <v>(digite a descrição aqui)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12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 t="str">
        <f ca="1">IF($D35&lt;&gt;"Serviço","",IF(AUTOEVENTO="Manual",IF($A35=0,"&lt;-- defina o número do agrupador",OFFSET(EVENTOS!$D$14,$A35,0)),OFFSET($F$15,$A35,0)))</f>
        <v>(digite a descrição aqui)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21.</v>
      </c>
      <c r="B36" s="9">
        <f ca="1">OFFSET(ORÇAMENTO!C$15,ROW(B36)-ROW(B$15),0)</f>
        <v>1</v>
      </c>
      <c r="C36" s="9" t="str">
        <f ca="1">OFFSET(ORÇAMENTO!L$15,ROW(C36)-ROW(C$15),0)</f>
        <v>F</v>
      </c>
      <c r="D36" s="146" t="str">
        <f ca="1">OFFSET(ORÇAMENTO!N$15,ROW(D36)-ROW(D$15),0)</f>
        <v>Meta</v>
      </c>
      <c r="E36" s="206" t="str">
        <f ca="1">OFFSET(ORÇAMENTO!O$15,ROW(E36)-ROW(E$15),0)</f>
        <v>3.</v>
      </c>
      <c r="F36" s="207" t="str">
        <f ca="1">OFFSET(ORÇAMENTO!R$15,ROW(F36)-ROW(F$15),0)</f>
        <v>demolições e retiradas</v>
      </c>
      <c r="G36" s="208" t="str">
        <f ca="1">IF($D36&lt;&gt;"Serviço","",OFFSET(ORÇAMENTO!S$15,ROW(G36)-ROW(G$15),0))</f>
        <v/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 t="str">
        <f ca="1">IF($D36&lt;&gt;"Serviço","",IF(AUTOEVENTO="manual",$A36,IF(ISERROR(MATCH($A36,$A$15:OFFSET($A36,-1,0),0)),MAX($M$15:OFFSET(M36,-1,0))+1,INDEX($M$15:OFFSET(M36,-1,0),MATCH($A36,$A$15:OFFSET($A36,-1,0),0)))))</f>
        <v/>
      </c>
      <c r="N36" s="212" t="str">
        <f ca="1">IF($D36&lt;&gt;"Serviço","",IF(AUTOEVENTO="Manual",IF($A36=0,"&lt;-- defina o número do agrupador",OFFSET(EVENTOS!$D$14,$A36,0)),OFFSET($F$15,$A36,0)))</f>
        <v/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0</v>
      </c>
      <c r="AN36" s="216">
        <f ca="1">IF($D36&lt;&gt;"Serviço",0,IF(AND(AUTOEVENTO="Manual",$M36=1),0,IF(OFFSET(CRONOPLE!$F$14,$M36,AN$13)="",10^12,OFFSET(CRONOPLE!$F$14,$M36,AN$13))))</f>
        <v>0</v>
      </c>
      <c r="AO36" s="216">
        <f ca="1">IF($D36&lt;&gt;"Serviço",0,IF(AND(AUTOEVENTO="Manual",$M36=1),0,IF(OFFSET(CRONOPLE!$F$14,$M36,AO$13)="",10^12,OFFSET(CRONOPLE!$F$14,$M36,AO$13))))</f>
        <v>0</v>
      </c>
      <c r="AP36" s="216">
        <f ca="1">IF($D36&lt;&gt;"Serviço",0,IF(AND(AUTOEVENTO="Manual",$M36=1),0,IF(OFFSET(CRONOPLE!$F$14,$M36,AP$13)="",10^12,OFFSET(CRONOPLE!$F$14,$M36,AP$13))))</f>
        <v>0</v>
      </c>
      <c r="AQ36" s="216">
        <f ca="1">IF($D36&lt;&gt;"Serviço",0,IF(AND(AUTOEVENTO="Manual",$M36=1),0,IF(OFFSET(CRONOPLE!$F$14,$M36,AQ$13)="",10^12,OFFSET(CRONOPLE!$F$14,$M36,AQ$13))))</f>
        <v>0</v>
      </c>
      <c r="AR36" s="216">
        <f ca="1">IF($D36&lt;&gt;"Serviço",0,IF(AND(AUTOEVENTO="Manual",$M36=1),0,IF(OFFSET(CRONOPLE!$F$14,$M36,AR$13)="",10^12,OFFSET(CRONOPLE!$F$14,$M36,AR$13))))</f>
        <v>0</v>
      </c>
      <c r="AS36" s="216">
        <f ca="1">IF($D36&lt;&gt;"Serviço",0,IF(AND(AUTOEVENTO="Manual",$M36=1),0,IF(OFFSET(CRONOPLE!$F$14,$M36,AS$13)="",10^12,OFFSET(CRONOPLE!$F$14,$M36,AS$13))))</f>
        <v>0</v>
      </c>
      <c r="AT36" s="216">
        <f ca="1">IF($D36&lt;&gt;"Serviço",0,IF(AND(AUTOEVENTO="Manual",$M36=1),0,IF(OFFSET(CRONOPLE!$F$14,$M36,AT$13)="",10^12,OFFSET(CRONOPLE!$F$14,$M36,AT$13))))</f>
        <v>0</v>
      </c>
      <c r="AU36" s="216">
        <f ca="1">IF($D36&lt;&gt;"Serviço",0,IF(AND(AUTOEVENTO="Manual",$M36=1),0,IF(OFFSET(CRONOPLE!$F$14,$M36,AU$13)="",10^12,OFFSET(CRONOPLE!$F$14,$M36,AU$13))))</f>
        <v>0</v>
      </c>
      <c r="AV36" s="216">
        <f ca="1">IF($D36&lt;&gt;"Serviço",0,IF(AND(AUTOEVENTO="Manual",$M36=1),0,IF(OFFSET(CRONOPLE!$F$14,$M36,AV$13)="",10^12,OFFSET(CRONOPLE!$F$14,$M36,AV$13))))</f>
        <v>0</v>
      </c>
      <c r="AX36" s="217">
        <f ca="1">IF($D36&lt;&gt;"Serviço",0,IF(OR(AND(AUTOEVENTO="Manual",$M36=1),$M36&gt;(ROW(PLE.lastrow)-ROW(PLE.firstrow))),0,IF(OFFSET(PLE!$G$14,$M36,AX$13)="",10^12,OFFSET(PLE!$G$14,$M36,AX$13))))</f>
        <v>0</v>
      </c>
      <c r="AY36" s="217">
        <f ca="1">IF($D36&lt;&gt;"Serviço",0,IF(OR(AND(AUTOEVENTO="Manual",$M36=1),$M36&gt;(ROW(PLE.lastrow)-ROW(PLE.firstrow))),0,IF(OFFSET(PLE!$G$14,$M36,AY$13)="",10^12,OFFSET(PLE!$G$14,$M36,AY$13))))</f>
        <v>0</v>
      </c>
      <c r="AZ36" s="217">
        <f ca="1">IF($D36&lt;&gt;"Serviço",0,IF(OR(AND(AUTOEVENTO="Manual",$M36=1),$M36&gt;(ROW(PLE.lastrow)-ROW(PLE.firstrow))),0,IF(OFFSET(PLE!$G$14,$M36,AZ$13)="",10^12,OFFSET(PLE!$G$14,$M36,AZ$13))))</f>
        <v>0</v>
      </c>
      <c r="BA36" s="217">
        <f ca="1">IF($D36&lt;&gt;"Serviço",0,IF(OR(AND(AUTOEVENTO="Manual",$M36=1),$M36&gt;(ROW(PLE.lastrow)-ROW(PLE.firstrow))),0,IF(OFFSET(PLE!$G$14,$M36,BA$13)="",10^12,OFFSET(PLE!$G$14,$M36,BA$13))))</f>
        <v>0</v>
      </c>
      <c r="BB36" s="217">
        <f ca="1">IF($D36&lt;&gt;"Serviço",0,IF(OR(AND(AUTOEVENTO="Manual",$M36=1),$M36&gt;(ROW(PLE.lastrow)-ROW(PLE.firstrow))),0,IF(OFFSET(PLE!$G$14,$M36,BB$13)="",10^12,OFFSET(PLE!$G$14,$M36,BB$13))))</f>
        <v>0</v>
      </c>
      <c r="BC36" s="217">
        <f ca="1">IF($D36&lt;&gt;"Serviço",0,IF(OR(AND(AUTOEVENTO="Manual",$M36=1),$M36&gt;(ROW(PLE.lastrow)-ROW(PLE.firstrow))),0,IF(OFFSET(PLE!$G$14,$M36,BC$13)="",10^12,OFFSET(PLE!$G$14,$M36,BC$13))))</f>
        <v>0</v>
      </c>
      <c r="BD36" s="217">
        <f ca="1">IF($D36&lt;&gt;"Serviço",0,IF(OR(AND(AUTOEVENTO="Manual",$M36=1),$M36&gt;(ROW(PLE.lastrow)-ROW(PLE.firstrow))),0,IF(OFFSET(PLE!$G$14,$M36,BD$13)="",10^12,OFFSET(PLE!$G$14,$M36,BD$13))))</f>
        <v>0</v>
      </c>
      <c r="BE36" s="217">
        <f ca="1">IF($D36&lt;&gt;"Serviço",0,IF(OR(AND(AUTOEVENTO="Manual",$M36=1),$M36&gt;(ROW(PLE.lastrow)-ROW(PLE.firstrow))),0,IF(OFFSET(PLE!$G$14,$M36,BE$13)="",10^12,OFFSET(PLE!$G$14,$M36,BE$13))))</f>
        <v>0</v>
      </c>
      <c r="BF36" s="217">
        <f ca="1">IF($D36&lt;&gt;"Serviço",0,IF(OR(AND(AUTOEVENTO="Manual",$M36=1),$M36&gt;(ROW(PLE.lastrow)-ROW(PLE.firstrow))),0,IF(OFFSET(PLE!$G$14,$M36,BF$13)="",10^12,OFFSET(PLE!$G$14,$M36,BF$13))))</f>
        <v>0</v>
      </c>
      <c r="BG36" s="217">
        <f ca="1">IF($D36&lt;&gt;"Serviço",0,IF(OR(AND(AUTOEVENTO="Manual",$M36=1),$M36&gt;(ROW(PLE.lastrow)-ROW(PLE.firstrow))),0,IF(OFFSET(PLE!$G$14,$M36,BG$13)="",10^12,OFFSET(PLE!$G$14,$M36,BG$13))))</f>
        <v>0</v>
      </c>
    </row>
    <row r="37" spans="1:59" ht="12.75" x14ac:dyDescent="0.2">
      <c r="A37" s="9" t="str">
        <f t="shared" ca="1" si="8"/>
        <v>22.</v>
      </c>
      <c r="B37" s="9">
        <f ca="1">OFFSET(ORÇAMENTO!C$15,ROW(B37)-ROW(B$15),0)</f>
        <v>2</v>
      </c>
      <c r="C37" s="9" t="str">
        <f ca="1">OFFSET(ORÇAMENTO!L$15,ROW(C37)-ROW(C$15),0)</f>
        <v>F</v>
      </c>
      <c r="D37" s="146" t="str">
        <f ca="1">OFFSET(ORÇAMENTO!N$15,ROW(D37)-ROW(D$15),0)</f>
        <v>Nível 2</v>
      </c>
      <c r="E37" s="206" t="str">
        <f ca="1">OFFSET(ORÇAMENTO!O$15,ROW(E37)-ROW(E$15),0)</f>
        <v>3.1.</v>
      </c>
      <c r="F37" s="207" t="str">
        <f ca="1">OFFSET(ORÇAMENTO!R$15,ROW(F37)-ROW(F$15),0)</f>
        <v>(digite a descrição aqui)</v>
      </c>
      <c r="G37" s="208" t="str">
        <f ca="1">IF($D37&lt;&gt;"Serviço","",OFFSET(ORÇAMENTO!S$15,ROW(G37)-ROW(G$15),0))</f>
        <v/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 t="str">
        <f ca="1">IF($D37&lt;&gt;"Serviço","",IF(AUTOEVENTO="manual",$A37,IF(ISERROR(MATCH($A37,$A$15:OFFSET($A37,-1,0),0)),MAX($M$15:OFFSET(M37,-1,0))+1,INDEX($M$15:OFFSET(M37,-1,0),MATCH($A37,$A$15:OFFSET($A37,-1,0),0)))))</f>
        <v/>
      </c>
      <c r="N37" s="212" t="str">
        <f ca="1">IF($D37&lt;&gt;"Serviço","",IF(AUTOEVENTO="Manual",IF($A37=0,"&lt;-- defina o número do agrupador",OFFSET(EVENTOS!$D$14,$A37,0)),OFFSET($F$15,$A37,0)))</f>
        <v/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0</v>
      </c>
      <c r="AN37" s="216">
        <f ca="1">IF($D37&lt;&gt;"Serviço",0,IF(AND(AUTOEVENTO="Manual",$M37=1),0,IF(OFFSET(CRONOPLE!$F$14,$M37,AN$13)="",10^12,OFFSET(CRONOPLE!$F$14,$M37,AN$13))))</f>
        <v>0</v>
      </c>
      <c r="AO37" s="216">
        <f ca="1">IF($D37&lt;&gt;"Serviço",0,IF(AND(AUTOEVENTO="Manual",$M37=1),0,IF(OFFSET(CRONOPLE!$F$14,$M37,AO$13)="",10^12,OFFSET(CRONOPLE!$F$14,$M37,AO$13))))</f>
        <v>0</v>
      </c>
      <c r="AP37" s="216">
        <f ca="1">IF($D37&lt;&gt;"Serviço",0,IF(AND(AUTOEVENTO="Manual",$M37=1),0,IF(OFFSET(CRONOPLE!$F$14,$M37,AP$13)="",10^12,OFFSET(CRONOPLE!$F$14,$M37,AP$13))))</f>
        <v>0</v>
      </c>
      <c r="AQ37" s="216">
        <f ca="1">IF($D37&lt;&gt;"Serviço",0,IF(AND(AUTOEVENTO="Manual",$M37=1),0,IF(OFFSET(CRONOPLE!$F$14,$M37,AQ$13)="",10^12,OFFSET(CRONOPLE!$F$14,$M37,AQ$13))))</f>
        <v>0</v>
      </c>
      <c r="AR37" s="216">
        <f ca="1">IF($D37&lt;&gt;"Serviço",0,IF(AND(AUTOEVENTO="Manual",$M37=1),0,IF(OFFSET(CRONOPLE!$F$14,$M37,AR$13)="",10^12,OFFSET(CRONOPLE!$F$14,$M37,AR$13))))</f>
        <v>0</v>
      </c>
      <c r="AS37" s="216">
        <f ca="1">IF($D37&lt;&gt;"Serviço",0,IF(AND(AUTOEVENTO="Manual",$M37=1),0,IF(OFFSET(CRONOPLE!$F$14,$M37,AS$13)="",10^12,OFFSET(CRONOPLE!$F$14,$M37,AS$13))))</f>
        <v>0</v>
      </c>
      <c r="AT37" s="216">
        <f ca="1">IF($D37&lt;&gt;"Serviço",0,IF(AND(AUTOEVENTO="Manual",$M37=1),0,IF(OFFSET(CRONOPLE!$F$14,$M37,AT$13)="",10^12,OFFSET(CRONOPLE!$F$14,$M37,AT$13))))</f>
        <v>0</v>
      </c>
      <c r="AU37" s="216">
        <f ca="1">IF($D37&lt;&gt;"Serviço",0,IF(AND(AUTOEVENTO="Manual",$M37=1),0,IF(OFFSET(CRONOPLE!$F$14,$M37,AU$13)="",10^12,OFFSET(CRONOPLE!$F$14,$M37,AU$13))))</f>
        <v>0</v>
      </c>
      <c r="AV37" s="216">
        <f ca="1">IF($D37&lt;&gt;"Serviço",0,IF(AND(AUTOEVENTO="Manual",$M37=1),0,IF(OFFSET(CRONOPLE!$F$14,$M37,AV$13)="",10^12,OFFSET(CRONOPLE!$F$14,$M37,AV$13))))</f>
        <v>0</v>
      </c>
      <c r="AX37" s="217">
        <f ca="1">IF($D37&lt;&gt;"Serviço",0,IF(OR(AND(AUTOEVENTO="Manual",$M37=1),$M37&gt;(ROW(PLE.lastrow)-ROW(PLE.firstrow))),0,IF(OFFSET(PLE!$G$14,$M37,AX$13)="",10^12,OFFSET(PLE!$G$14,$M37,AX$13))))</f>
        <v>0</v>
      </c>
      <c r="AY37" s="217">
        <f ca="1">IF($D37&lt;&gt;"Serviço",0,IF(OR(AND(AUTOEVENTO="Manual",$M37=1),$M37&gt;(ROW(PLE.lastrow)-ROW(PLE.firstrow))),0,IF(OFFSET(PLE!$G$14,$M37,AY$13)="",10^12,OFFSET(PLE!$G$14,$M37,AY$13))))</f>
        <v>0</v>
      </c>
      <c r="AZ37" s="217">
        <f ca="1">IF($D37&lt;&gt;"Serviço",0,IF(OR(AND(AUTOEVENTO="Manual",$M37=1),$M37&gt;(ROW(PLE.lastrow)-ROW(PLE.firstrow))),0,IF(OFFSET(PLE!$G$14,$M37,AZ$13)="",10^12,OFFSET(PLE!$G$14,$M37,AZ$13))))</f>
        <v>0</v>
      </c>
      <c r="BA37" s="217">
        <f ca="1">IF($D37&lt;&gt;"Serviço",0,IF(OR(AND(AUTOEVENTO="Manual",$M37=1),$M37&gt;(ROW(PLE.lastrow)-ROW(PLE.firstrow))),0,IF(OFFSET(PLE!$G$14,$M37,BA$13)="",10^12,OFFSET(PLE!$G$14,$M37,BA$13))))</f>
        <v>0</v>
      </c>
      <c r="BB37" s="217">
        <f ca="1">IF($D37&lt;&gt;"Serviço",0,IF(OR(AND(AUTOEVENTO="Manual",$M37=1),$M37&gt;(ROW(PLE.lastrow)-ROW(PLE.firstrow))),0,IF(OFFSET(PLE!$G$14,$M37,BB$13)="",10^12,OFFSET(PLE!$G$14,$M37,BB$13))))</f>
        <v>0</v>
      </c>
      <c r="BC37" s="217">
        <f ca="1">IF($D37&lt;&gt;"Serviço",0,IF(OR(AND(AUTOEVENTO="Manual",$M37=1),$M37&gt;(ROW(PLE.lastrow)-ROW(PLE.firstrow))),0,IF(OFFSET(PLE!$G$14,$M37,BC$13)="",10^12,OFFSET(PLE!$G$14,$M37,BC$13))))</f>
        <v>0</v>
      </c>
      <c r="BD37" s="217">
        <f ca="1">IF($D37&lt;&gt;"Serviço",0,IF(OR(AND(AUTOEVENTO="Manual",$M37=1),$M37&gt;(ROW(PLE.lastrow)-ROW(PLE.firstrow))),0,IF(OFFSET(PLE!$G$14,$M37,BD$13)="",10^12,OFFSET(PLE!$G$14,$M37,BD$13))))</f>
        <v>0</v>
      </c>
      <c r="BE37" s="217">
        <f ca="1">IF($D37&lt;&gt;"Serviço",0,IF(OR(AND(AUTOEVENTO="Manual",$M37=1),$M37&gt;(ROW(PLE.lastrow)-ROW(PLE.firstrow))),0,IF(OFFSET(PLE!$G$14,$M37,BE$13)="",10^12,OFFSET(PLE!$G$14,$M37,BE$13))))</f>
        <v>0</v>
      </c>
      <c r="BF37" s="217">
        <f ca="1">IF($D37&lt;&gt;"Serviço",0,IF(OR(AND(AUTOEVENTO="Manual",$M37=1),$M37&gt;(ROW(PLE.lastrow)-ROW(PLE.firstrow))),0,IF(OFFSET(PLE!$G$14,$M37,BF$13)="",10^12,OFFSET(PLE!$G$14,$M37,BF$13))))</f>
        <v>0</v>
      </c>
      <c r="BG37" s="217">
        <f ca="1">IF($D37&lt;&gt;"Serviço",0,IF(OR(AND(AUTOEVENTO="Manual",$M37=1),$M37&gt;(ROW(PLE.lastrow)-ROW(PLE.firstrow))),0,IF(OFFSET(PLE!$G$14,$M37,BG$13)="",10^12,OFFSET(PLE!$G$14,$M37,BG$13))))</f>
        <v>0</v>
      </c>
    </row>
    <row r="38" spans="1:59" ht="25.5" x14ac:dyDescent="0.2">
      <c r="A38" s="9" t="str">
        <f t="shared" ca="1" si="8"/>
        <v>22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3.1.1.</v>
      </c>
      <c r="F38" s="207" t="str">
        <f ca="1">OFFSET(ORÇAMENTO!R$15,ROW(F38)-ROW(F$15),0)</f>
        <v>DEMOLIÇÃO DE ALVENARIA DE BLOCO FURADO, DE FORMA MANUAL, SEM REAPROVEITAMENTO. AF_12/2017</v>
      </c>
      <c r="G38" s="208" t="str">
        <f ca="1">IF($D38&lt;&gt;"Serviço","",OFFSET(ORÇAMENTO!S$15,ROW(G38)-ROW(G$15),0))</f>
        <v>M3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9.0500000000000007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(digite a descrição aqui)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25.5" x14ac:dyDescent="0.2">
      <c r="A39" s="9" t="str">
        <f t="shared" ca="1" si="8"/>
        <v>22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3.1.2.</v>
      </c>
      <c r="F39" s="207" t="str">
        <f ca="1">OFFSET(ORÇAMENTO!R$15,ROW(F39)-ROW(F$15),0)</f>
        <v>RETIRADA DE DIVISORIAS EM CHAPAS DE MADEIRA, COM MONTANTES METALICOS</v>
      </c>
      <c r="G39" s="208" t="str">
        <f ca="1">IF($D39&lt;&gt;"Serviço","",OFFSET(ORÇAMENTO!S$15,ROW(G39)-ROW(G$15),0))</f>
        <v>M2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54.34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(digite a descrição aqui)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25.5" x14ac:dyDescent="0.2">
      <c r="A40" s="9" t="str">
        <f t="shared" ca="1" si="8"/>
        <v>22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6" t="str">
        <f ca="1">OFFSET(ORÇAMENTO!N$15,ROW(D40)-ROW(D$15),0)</f>
        <v>Serviço</v>
      </c>
      <c r="E40" s="206" t="str">
        <f ca="1">OFFSET(ORÇAMENTO!O$15,ROW(E40)-ROW(E$15),0)</f>
        <v>3.1.3.</v>
      </c>
      <c r="F40" s="207" t="str">
        <f ca="1">OFFSET(ORÇAMENTO!R$15,ROW(F40)-ROW(F$15),0)</f>
        <v>DEMOLIÇÃO DE LAJES, DE FORMA MANUAL, SEM REAPROVEITAMENTO. AF_12/2017</v>
      </c>
      <c r="G40" s="208" t="str">
        <f ca="1">IF($D40&lt;&gt;"Serviço","",OFFSET(ORÇAMENTO!S$15,ROW(G40)-ROW(G$15),0))</f>
        <v>M3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7.55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(digite a descrição aqui)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25.5" x14ac:dyDescent="0.2">
      <c r="A41" s="9" t="str">
        <f t="shared" ca="1" si="8"/>
        <v>22</v>
      </c>
      <c r="B41" s="9" t="str">
        <f ca="1">OFFSET(ORÇAMENTO!C$15,ROW(B41)-ROW(B$15),0)</f>
        <v>S</v>
      </c>
      <c r="C41" s="9" t="str">
        <f ca="1">OFFSET(ORÇAMENTO!L$15,ROW(C41)-ROW(C$15),0)</f>
        <v>F</v>
      </c>
      <c r="D41" s="146" t="str">
        <f ca="1">OFFSET(ORÇAMENTO!N$15,ROW(D41)-ROW(D$15),0)</f>
        <v>Serviço</v>
      </c>
      <c r="E41" s="206" t="str">
        <f ca="1">OFFSET(ORÇAMENTO!O$15,ROW(E41)-ROW(E$15),0)</f>
        <v>3.1.4.</v>
      </c>
      <c r="F41" s="207" t="str">
        <f ca="1">OFFSET(ORÇAMENTO!R$15,ROW(F41)-ROW(F$15),0)</f>
        <v>REMOÇÃO DE PORTAS, DE FORMA MANUAL, SEM REAPROVEITAMENTO. AF_12/2017</v>
      </c>
      <c r="G41" s="208" t="str">
        <f ca="1">IF($D41&lt;&gt;"Serviço","",OFFSET(ORÇAMENTO!S$15,ROW(G41)-ROW(G$15),0))</f>
        <v>M2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13.44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(digite a descrição aqui)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25.5" x14ac:dyDescent="0.2">
      <c r="A42" s="9" t="str">
        <f t="shared" ca="1" si="8"/>
        <v>22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6" t="str">
        <f ca="1">OFFSET(ORÇAMENTO!N$15,ROW(D42)-ROW(D$15),0)</f>
        <v>Serviço</v>
      </c>
      <c r="E42" s="206" t="str">
        <f ca="1">OFFSET(ORÇAMENTO!O$15,ROW(E42)-ROW(E$15),0)</f>
        <v>3.1.5.</v>
      </c>
      <c r="F42" s="207" t="str">
        <f ca="1">OFFSET(ORÇAMENTO!R$15,ROW(F42)-ROW(F$15),0)</f>
        <v>REMOÇÃO DE TESOURAS METÁLICAS, COM VÃO MENOR QUE 8M, DE FORMA MECANIZADA, COM REAPROVEITAMENTO. AF_12/2017</v>
      </c>
      <c r="G42" s="208" t="str">
        <f ca="1">IF($D42&lt;&gt;"Serviço","",OFFSET(ORÇAMENTO!S$15,ROW(G42)-ROW(G$15),0))</f>
        <v>UN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3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4</v>
      </c>
      <c r="N42" s="212" t="str">
        <f ca="1">IF($D42&lt;&gt;"Serviço","",IF(AUTOEVENTO="Manual",IF($A42=0,"&lt;-- defina o número do agrupador",OFFSET(EVENTOS!$D$14,$A42,0)),OFFSET($F$15,$A42,0)))</f>
        <v>(digite a descrição aqui)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25.5" x14ac:dyDescent="0.2">
      <c r="A43" s="9" t="str">
        <f t="shared" ca="1" si="8"/>
        <v>22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6" t="str">
        <f ca="1">OFFSET(ORÇAMENTO!N$15,ROW(D43)-ROW(D$15),0)</f>
        <v>Serviço</v>
      </c>
      <c r="E43" s="206" t="str">
        <f ca="1">OFFSET(ORÇAMENTO!O$15,ROW(E43)-ROW(E$15),0)</f>
        <v>3.1.6.</v>
      </c>
      <c r="F43" s="207" t="str">
        <f ca="1">OFFSET(ORÇAMENTO!R$15,ROW(F43)-ROW(F$15),0)</f>
        <v>RETIRADA DE PARALELEPIPEDOS INCLUSIVE TRANSPORTE E DESTINO FINAL</v>
      </c>
      <c r="G43" s="208" t="str">
        <f ca="1">IF($D43&lt;&gt;"Serviço","",OFFSET(ORÇAMENTO!S$15,ROW(G43)-ROW(G$15),0))</f>
        <v>M2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154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4</v>
      </c>
      <c r="N43" s="212" t="str">
        <f ca="1">IF($D43&lt;&gt;"Serviço","",IF(AUTOEVENTO="Manual",IF($A43=0,"&lt;-- defina o número do agrupador",OFFSET(EVENTOS!$D$14,$A43,0)),OFFSET($F$15,$A43,0)))</f>
        <v>(digite a descrição aqui)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25.5" x14ac:dyDescent="0.2">
      <c r="A44" s="9" t="str">
        <f t="shared" ca="1" si="8"/>
        <v>22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3.1.7.</v>
      </c>
      <c r="F44" s="207" t="str">
        <f ca="1">OFFSET(ORÇAMENTO!R$15,ROW(F44)-ROW(F$15),0)</f>
        <v>ESCAVAÇÃO MANUAL DE VALA COM PROFUNDIDADE MENOR OU IGUAL A 1,30 M. AF_03/2016</v>
      </c>
      <c r="G44" s="208" t="str">
        <f ca="1">IF($D44&lt;&gt;"Serviço","",OFFSET(ORÇAMENTO!S$15,ROW(G44)-ROW(G$15),0))</f>
        <v>M3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53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4</v>
      </c>
      <c r="N44" s="212" t="str">
        <f ca="1">IF($D44&lt;&gt;"Serviço","",IF(AUTOEVENTO="Manual",IF($A44=0,"&lt;-- defina o número do agrupador",OFFSET(EVENTOS!$D$14,$A44,0)),OFFSET($F$15,$A44,0)))</f>
        <v>(digite a descrição aqui)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9" t="str">
        <f t="shared" ca="1" si="8"/>
        <v>22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6" t="str">
        <f ca="1">OFFSET(ORÇAMENTO!N$15,ROW(D45)-ROW(D$15),0)</f>
        <v>Serviço</v>
      </c>
      <c r="E45" s="206" t="str">
        <f ca="1">OFFSET(ORÇAMENTO!O$15,ROW(E45)-ROW(E$15),0)</f>
        <v>3.1.8.</v>
      </c>
      <c r="F45" s="207" t="str">
        <f ca="1">OFFSET(ORÇAMENTO!R$15,ROW(F45)-ROW(F$15),0)</f>
        <v>REMOÇÃO DE JANELAS, DE FORMA MANUAL, SEM REAPROVEITAMENTO. AF_12/2017</v>
      </c>
      <c r="G45" s="208" t="str">
        <f ca="1">IF($D45&lt;&gt;"Serviço","",OFFSET(ORÇAMENTO!S$15,ROW(G45)-ROW(G$15),0))</f>
        <v>M2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7.4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4</v>
      </c>
      <c r="N45" s="212" t="str">
        <f ca="1">IF($D45&lt;&gt;"Serviço","",IF(AUTOEVENTO="Manual",IF($A45=0,"&lt;-- defina o número do agrupador",OFFSET(EVENTOS!$D$14,$A45,0)),OFFSET($F$15,$A45,0)))</f>
        <v>(digite a descrição aqui)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22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4</v>
      </c>
      <c r="N46" s="212" t="str">
        <f ca="1">IF($D46&lt;&gt;"Serviço","",IF(AUTOEVENTO="Manual",IF($A46=0,"&lt;-- defina o número do agrupador",OFFSET(EVENTOS!$D$14,$A46,0)),OFFSET($F$15,$A46,0)))</f>
        <v>(digite a descrição aqui)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22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4</v>
      </c>
      <c r="N47" s="212" t="str">
        <f ca="1">IF($D47&lt;&gt;"Serviço","",IF(AUTOEVENTO="Manual",IF($A47=0,"&lt;-- defina o número do agrupador",OFFSET(EVENTOS!$D$14,$A47,0)),OFFSET($F$15,$A47,0)))</f>
        <v>(digite a descrição aqui)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22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4</v>
      </c>
      <c r="N48" s="212" t="str">
        <f ca="1">IF($D48&lt;&gt;"Serviço","",IF(AUTOEVENTO="Manual",IF($A48=0,"&lt;-- defina o número do agrupador",OFFSET(EVENTOS!$D$14,$A48,0)),OFFSET($F$15,$A48,0)))</f>
        <v>(digite a descrição aqui)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22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4</v>
      </c>
      <c r="N49" s="212" t="str">
        <f ca="1">IF($D49&lt;&gt;"Serviço","",IF(AUTOEVENTO="Manual",IF($A49=0,"&lt;-- defina o número do agrupador",OFFSET(EVENTOS!$D$14,$A49,0)),OFFSET($F$15,$A49,0)))</f>
        <v>(digite a descrição aqui)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22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4</v>
      </c>
      <c r="N50" s="212" t="str">
        <f ca="1">IF($D50&lt;&gt;"Serviço","",IF(AUTOEVENTO="Manual",IF($A50=0,"&lt;-- defina o número do agrupador",OFFSET(EVENTOS!$D$14,$A50,0)),OFFSET($F$15,$A50,0)))</f>
        <v>(digite a descrição aqui)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22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4</v>
      </c>
      <c r="N51" s="212" t="str">
        <f ca="1">IF($D51&lt;&gt;"Serviço","",IF(AUTOEVENTO="Manual",IF($A51=0,"&lt;-- defina o número do agrupador",OFFSET(EVENTOS!$D$14,$A51,0)),OFFSET($F$15,$A51,0)))</f>
        <v>(digite a descrição aqui)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37.</v>
      </c>
      <c r="B52" s="9">
        <f ca="1">OFFSET(ORÇAMENTO!C$15,ROW(B52)-ROW(B$15),0)</f>
        <v>1</v>
      </c>
      <c r="C52" s="9" t="str">
        <f ca="1">OFFSET(ORÇAMENTO!L$15,ROW(C52)-ROW(C$15),0)</f>
        <v>F</v>
      </c>
      <c r="D52" s="146" t="str">
        <f ca="1">OFFSET(ORÇAMENTO!N$15,ROW(D52)-ROW(D$15),0)</f>
        <v>Meta</v>
      </c>
      <c r="E52" s="206" t="str">
        <f ca="1">OFFSET(ORÇAMENTO!O$15,ROW(E52)-ROW(E$15),0)</f>
        <v>4.</v>
      </c>
      <c r="F52" s="207" t="str">
        <f ca="1">OFFSET(ORÇAMENTO!R$15,ROW(F52)-ROW(F$15),0)</f>
        <v>ESQUADRIAS</v>
      </c>
      <c r="G52" s="208" t="str">
        <f ca="1">IF($D52&lt;&gt;"Serviço","",OFFSET(ORÇAMENTO!S$15,ROW(G52)-ROW(G$15),0))</f>
        <v/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 t="str">
        <f ca="1">IF($D52&lt;&gt;"Serviço","",IF(AUTOEVENTO="manual",$A52,IF(ISERROR(MATCH($A52,$A$15:OFFSET($A52,-1,0),0)),MAX($M$15:OFFSET(M52,-1,0))+1,INDEX($M$15:OFFSET(M52,-1,0),MATCH($A52,$A$15:OFFSET($A52,-1,0),0)))))</f>
        <v/>
      </c>
      <c r="N52" s="212" t="str">
        <f ca="1">IF($D52&lt;&gt;"Serviço","",IF(AUTOEVENTO="Manual",IF($A52=0,"&lt;-- defina o número do agrupador",OFFSET(EVENTOS!$D$14,$A52,0)),OFFSET($F$15,$A52,0)))</f>
        <v/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0</v>
      </c>
      <c r="AN52" s="216">
        <f ca="1">IF($D52&lt;&gt;"Serviço",0,IF(AND(AUTOEVENTO="Manual",$M52=1),0,IF(OFFSET(CRONOPLE!$F$14,$M52,AN$13)="",10^12,OFFSET(CRONOPLE!$F$14,$M52,AN$13))))</f>
        <v>0</v>
      </c>
      <c r="AO52" s="216">
        <f ca="1">IF($D52&lt;&gt;"Serviço",0,IF(AND(AUTOEVENTO="Manual",$M52=1),0,IF(OFFSET(CRONOPLE!$F$14,$M52,AO$13)="",10^12,OFFSET(CRONOPLE!$F$14,$M52,AO$13))))</f>
        <v>0</v>
      </c>
      <c r="AP52" s="216">
        <f ca="1">IF($D52&lt;&gt;"Serviço",0,IF(AND(AUTOEVENTO="Manual",$M52=1),0,IF(OFFSET(CRONOPLE!$F$14,$M52,AP$13)="",10^12,OFFSET(CRONOPLE!$F$14,$M52,AP$13))))</f>
        <v>0</v>
      </c>
      <c r="AQ52" s="216">
        <f ca="1">IF($D52&lt;&gt;"Serviço",0,IF(AND(AUTOEVENTO="Manual",$M52=1),0,IF(OFFSET(CRONOPLE!$F$14,$M52,AQ$13)="",10^12,OFFSET(CRONOPLE!$F$14,$M52,AQ$13))))</f>
        <v>0</v>
      </c>
      <c r="AR52" s="216">
        <f ca="1">IF($D52&lt;&gt;"Serviço",0,IF(AND(AUTOEVENTO="Manual",$M52=1),0,IF(OFFSET(CRONOPLE!$F$14,$M52,AR$13)="",10^12,OFFSET(CRONOPLE!$F$14,$M52,AR$13))))</f>
        <v>0</v>
      </c>
      <c r="AS52" s="216">
        <f ca="1">IF($D52&lt;&gt;"Serviço",0,IF(AND(AUTOEVENTO="Manual",$M52=1),0,IF(OFFSET(CRONOPLE!$F$14,$M52,AS$13)="",10^12,OFFSET(CRONOPLE!$F$14,$M52,AS$13))))</f>
        <v>0</v>
      </c>
      <c r="AT52" s="216">
        <f ca="1">IF($D52&lt;&gt;"Serviço",0,IF(AND(AUTOEVENTO="Manual",$M52=1),0,IF(OFFSET(CRONOPLE!$F$14,$M52,AT$13)="",10^12,OFFSET(CRONOPLE!$F$14,$M52,AT$13))))</f>
        <v>0</v>
      </c>
      <c r="AU52" s="216">
        <f ca="1">IF($D52&lt;&gt;"Serviço",0,IF(AND(AUTOEVENTO="Manual",$M52=1),0,IF(OFFSET(CRONOPLE!$F$14,$M52,AU$13)="",10^12,OFFSET(CRONOPLE!$F$14,$M52,AU$13))))</f>
        <v>0</v>
      </c>
      <c r="AV52" s="216">
        <f ca="1">IF($D52&lt;&gt;"Serviço",0,IF(AND(AUTOEVENTO="Manual",$M52=1),0,IF(OFFSET(CRONOPLE!$F$14,$M52,AV$13)="",10^12,OFFSET(CRONOPLE!$F$14,$M52,AV$13))))</f>
        <v>0</v>
      </c>
      <c r="AX52" s="217">
        <f ca="1">IF($D52&lt;&gt;"Serviço",0,IF(OR(AND(AUTOEVENTO="Manual",$M52=1),$M52&gt;(ROW(PLE.lastrow)-ROW(PLE.firstrow))),0,IF(OFFSET(PLE!$G$14,$M52,AX$13)="",10^12,OFFSET(PLE!$G$14,$M52,AX$13))))</f>
        <v>0</v>
      </c>
      <c r="AY52" s="217">
        <f ca="1">IF($D52&lt;&gt;"Serviço",0,IF(OR(AND(AUTOEVENTO="Manual",$M52=1),$M52&gt;(ROW(PLE.lastrow)-ROW(PLE.firstrow))),0,IF(OFFSET(PLE!$G$14,$M52,AY$13)="",10^12,OFFSET(PLE!$G$14,$M52,AY$13))))</f>
        <v>0</v>
      </c>
      <c r="AZ52" s="217">
        <f ca="1">IF($D52&lt;&gt;"Serviço",0,IF(OR(AND(AUTOEVENTO="Manual",$M52=1),$M52&gt;(ROW(PLE.lastrow)-ROW(PLE.firstrow))),0,IF(OFFSET(PLE!$G$14,$M52,AZ$13)="",10^12,OFFSET(PLE!$G$14,$M52,AZ$13))))</f>
        <v>0</v>
      </c>
      <c r="BA52" s="217">
        <f ca="1">IF($D52&lt;&gt;"Serviço",0,IF(OR(AND(AUTOEVENTO="Manual",$M52=1),$M52&gt;(ROW(PLE.lastrow)-ROW(PLE.firstrow))),0,IF(OFFSET(PLE!$G$14,$M52,BA$13)="",10^12,OFFSET(PLE!$G$14,$M52,BA$13))))</f>
        <v>0</v>
      </c>
      <c r="BB52" s="217">
        <f ca="1">IF($D52&lt;&gt;"Serviço",0,IF(OR(AND(AUTOEVENTO="Manual",$M52=1),$M52&gt;(ROW(PLE.lastrow)-ROW(PLE.firstrow))),0,IF(OFFSET(PLE!$G$14,$M52,BB$13)="",10^12,OFFSET(PLE!$G$14,$M52,BB$13))))</f>
        <v>0</v>
      </c>
      <c r="BC52" s="217">
        <f ca="1">IF($D52&lt;&gt;"Serviço",0,IF(OR(AND(AUTOEVENTO="Manual",$M52=1),$M52&gt;(ROW(PLE.lastrow)-ROW(PLE.firstrow))),0,IF(OFFSET(PLE!$G$14,$M52,BC$13)="",10^12,OFFSET(PLE!$G$14,$M52,BC$13))))</f>
        <v>0</v>
      </c>
      <c r="BD52" s="217">
        <f ca="1">IF($D52&lt;&gt;"Serviço",0,IF(OR(AND(AUTOEVENTO="Manual",$M52=1),$M52&gt;(ROW(PLE.lastrow)-ROW(PLE.firstrow))),0,IF(OFFSET(PLE!$G$14,$M52,BD$13)="",10^12,OFFSET(PLE!$G$14,$M52,BD$13))))</f>
        <v>0</v>
      </c>
      <c r="BE52" s="217">
        <f ca="1">IF($D52&lt;&gt;"Serviço",0,IF(OR(AND(AUTOEVENTO="Manual",$M52=1),$M52&gt;(ROW(PLE.lastrow)-ROW(PLE.firstrow))),0,IF(OFFSET(PLE!$G$14,$M52,BE$13)="",10^12,OFFSET(PLE!$G$14,$M52,BE$13))))</f>
        <v>0</v>
      </c>
      <c r="BF52" s="217">
        <f ca="1">IF($D52&lt;&gt;"Serviço",0,IF(OR(AND(AUTOEVENTO="Manual",$M52=1),$M52&gt;(ROW(PLE.lastrow)-ROW(PLE.firstrow))),0,IF(OFFSET(PLE!$G$14,$M52,BF$13)="",10^12,OFFSET(PLE!$G$14,$M52,BF$13))))</f>
        <v>0</v>
      </c>
      <c r="BG52" s="217">
        <f ca="1">IF($D52&lt;&gt;"Serviço",0,IF(OR(AND(AUTOEVENTO="Manual",$M52=1),$M52&gt;(ROW(PLE.lastrow)-ROW(PLE.firstrow))),0,IF(OFFSET(PLE!$G$14,$M52,BG$13)="",10^12,OFFSET(PLE!$G$14,$M52,BG$13))))</f>
        <v>0</v>
      </c>
    </row>
    <row r="53" spans="1:59" ht="12.75" x14ac:dyDescent="0.2">
      <c r="A53" s="9" t="str">
        <f t="shared" ca="1" si="8"/>
        <v>38.</v>
      </c>
      <c r="B53" s="9">
        <f ca="1">OFFSET(ORÇAMENTO!C$15,ROW(B53)-ROW(B$15),0)</f>
        <v>2</v>
      </c>
      <c r="C53" s="9" t="str">
        <f ca="1">OFFSET(ORÇAMENTO!L$15,ROW(C53)-ROW(C$15),0)</f>
        <v>F</v>
      </c>
      <c r="D53" s="146" t="str">
        <f ca="1">OFFSET(ORÇAMENTO!N$15,ROW(D53)-ROW(D$15),0)</f>
        <v>Nível 2</v>
      </c>
      <c r="E53" s="206" t="str">
        <f ca="1">OFFSET(ORÇAMENTO!O$15,ROW(E53)-ROW(E$15),0)</f>
        <v>4.1.</v>
      </c>
      <c r="F53" s="207" t="str">
        <f ca="1">OFFSET(ORÇAMENTO!R$15,ROW(F53)-ROW(F$15),0)</f>
        <v>(digite a descrição aqui)</v>
      </c>
      <c r="G53" s="208" t="str">
        <f ca="1">IF($D53&lt;&gt;"Serviço","",OFFSET(ORÇAMENTO!S$15,ROW(G53)-ROW(G$15),0))</f>
        <v/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 t="str">
        <f ca="1">IF($D53&lt;&gt;"Serviço","",IF(AUTOEVENTO="manual",$A53,IF(ISERROR(MATCH($A53,$A$15:OFFSET($A53,-1,0),0)),MAX($M$15:OFFSET(M53,-1,0))+1,INDEX($M$15:OFFSET(M53,-1,0),MATCH($A53,$A$15:OFFSET($A53,-1,0),0)))))</f>
        <v/>
      </c>
      <c r="N53" s="212" t="str">
        <f ca="1">IF($D53&lt;&gt;"Serviço","",IF(AUTOEVENTO="Manual",IF($A53=0,"&lt;-- defina o número do agrupador",OFFSET(EVENTOS!$D$14,$A53,0)),OFFSET($F$15,$A53,0)))</f>
        <v/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0</v>
      </c>
      <c r="AN53" s="216">
        <f ca="1">IF($D53&lt;&gt;"Serviço",0,IF(AND(AUTOEVENTO="Manual",$M53=1),0,IF(OFFSET(CRONOPLE!$F$14,$M53,AN$13)="",10^12,OFFSET(CRONOPLE!$F$14,$M53,AN$13))))</f>
        <v>0</v>
      </c>
      <c r="AO53" s="216">
        <f ca="1">IF($D53&lt;&gt;"Serviço",0,IF(AND(AUTOEVENTO="Manual",$M53=1),0,IF(OFFSET(CRONOPLE!$F$14,$M53,AO$13)="",10^12,OFFSET(CRONOPLE!$F$14,$M53,AO$13))))</f>
        <v>0</v>
      </c>
      <c r="AP53" s="216">
        <f ca="1">IF($D53&lt;&gt;"Serviço",0,IF(AND(AUTOEVENTO="Manual",$M53=1),0,IF(OFFSET(CRONOPLE!$F$14,$M53,AP$13)="",10^12,OFFSET(CRONOPLE!$F$14,$M53,AP$13))))</f>
        <v>0</v>
      </c>
      <c r="AQ53" s="216">
        <f ca="1">IF($D53&lt;&gt;"Serviço",0,IF(AND(AUTOEVENTO="Manual",$M53=1),0,IF(OFFSET(CRONOPLE!$F$14,$M53,AQ$13)="",10^12,OFFSET(CRONOPLE!$F$14,$M53,AQ$13))))</f>
        <v>0</v>
      </c>
      <c r="AR53" s="216">
        <f ca="1">IF($D53&lt;&gt;"Serviço",0,IF(AND(AUTOEVENTO="Manual",$M53=1),0,IF(OFFSET(CRONOPLE!$F$14,$M53,AR$13)="",10^12,OFFSET(CRONOPLE!$F$14,$M53,AR$13))))</f>
        <v>0</v>
      </c>
      <c r="AS53" s="216">
        <f ca="1">IF($D53&lt;&gt;"Serviço",0,IF(AND(AUTOEVENTO="Manual",$M53=1),0,IF(OFFSET(CRONOPLE!$F$14,$M53,AS$13)="",10^12,OFFSET(CRONOPLE!$F$14,$M53,AS$13))))</f>
        <v>0</v>
      </c>
      <c r="AT53" s="216">
        <f ca="1">IF($D53&lt;&gt;"Serviço",0,IF(AND(AUTOEVENTO="Manual",$M53=1),0,IF(OFFSET(CRONOPLE!$F$14,$M53,AT$13)="",10^12,OFFSET(CRONOPLE!$F$14,$M53,AT$13))))</f>
        <v>0</v>
      </c>
      <c r="AU53" s="216">
        <f ca="1">IF($D53&lt;&gt;"Serviço",0,IF(AND(AUTOEVENTO="Manual",$M53=1),0,IF(OFFSET(CRONOPLE!$F$14,$M53,AU$13)="",10^12,OFFSET(CRONOPLE!$F$14,$M53,AU$13))))</f>
        <v>0</v>
      </c>
      <c r="AV53" s="216">
        <f ca="1">IF($D53&lt;&gt;"Serviço",0,IF(AND(AUTOEVENTO="Manual",$M53=1),0,IF(OFFSET(CRONOPLE!$F$14,$M53,AV$13)="",10^12,OFFSET(CRONOPLE!$F$14,$M53,AV$13))))</f>
        <v>0</v>
      </c>
      <c r="AX53" s="217">
        <f ca="1">IF($D53&lt;&gt;"Serviço",0,IF(OR(AND(AUTOEVENTO="Manual",$M53=1),$M53&gt;(ROW(PLE.lastrow)-ROW(PLE.firstrow))),0,IF(OFFSET(PLE!$G$14,$M53,AX$13)="",10^12,OFFSET(PLE!$G$14,$M53,AX$13))))</f>
        <v>0</v>
      </c>
      <c r="AY53" s="217">
        <f ca="1">IF($D53&lt;&gt;"Serviço",0,IF(OR(AND(AUTOEVENTO="Manual",$M53=1),$M53&gt;(ROW(PLE.lastrow)-ROW(PLE.firstrow))),0,IF(OFFSET(PLE!$G$14,$M53,AY$13)="",10^12,OFFSET(PLE!$G$14,$M53,AY$13))))</f>
        <v>0</v>
      </c>
      <c r="AZ53" s="217">
        <f ca="1">IF($D53&lt;&gt;"Serviço",0,IF(OR(AND(AUTOEVENTO="Manual",$M53=1),$M53&gt;(ROW(PLE.lastrow)-ROW(PLE.firstrow))),0,IF(OFFSET(PLE!$G$14,$M53,AZ$13)="",10^12,OFFSET(PLE!$G$14,$M53,AZ$13))))</f>
        <v>0</v>
      </c>
      <c r="BA53" s="217">
        <f ca="1">IF($D53&lt;&gt;"Serviço",0,IF(OR(AND(AUTOEVENTO="Manual",$M53=1),$M53&gt;(ROW(PLE.lastrow)-ROW(PLE.firstrow))),0,IF(OFFSET(PLE!$G$14,$M53,BA$13)="",10^12,OFFSET(PLE!$G$14,$M53,BA$13))))</f>
        <v>0</v>
      </c>
      <c r="BB53" s="217">
        <f ca="1">IF($D53&lt;&gt;"Serviço",0,IF(OR(AND(AUTOEVENTO="Manual",$M53=1),$M53&gt;(ROW(PLE.lastrow)-ROW(PLE.firstrow))),0,IF(OFFSET(PLE!$G$14,$M53,BB$13)="",10^12,OFFSET(PLE!$G$14,$M53,BB$13))))</f>
        <v>0</v>
      </c>
      <c r="BC53" s="217">
        <f ca="1">IF($D53&lt;&gt;"Serviço",0,IF(OR(AND(AUTOEVENTO="Manual",$M53=1),$M53&gt;(ROW(PLE.lastrow)-ROW(PLE.firstrow))),0,IF(OFFSET(PLE!$G$14,$M53,BC$13)="",10^12,OFFSET(PLE!$G$14,$M53,BC$13))))</f>
        <v>0</v>
      </c>
      <c r="BD53" s="217">
        <f ca="1">IF($D53&lt;&gt;"Serviço",0,IF(OR(AND(AUTOEVENTO="Manual",$M53=1),$M53&gt;(ROW(PLE.lastrow)-ROW(PLE.firstrow))),0,IF(OFFSET(PLE!$G$14,$M53,BD$13)="",10^12,OFFSET(PLE!$G$14,$M53,BD$13))))</f>
        <v>0</v>
      </c>
      <c r="BE53" s="217">
        <f ca="1">IF($D53&lt;&gt;"Serviço",0,IF(OR(AND(AUTOEVENTO="Manual",$M53=1),$M53&gt;(ROW(PLE.lastrow)-ROW(PLE.firstrow))),0,IF(OFFSET(PLE!$G$14,$M53,BE$13)="",10^12,OFFSET(PLE!$G$14,$M53,BE$13))))</f>
        <v>0</v>
      </c>
      <c r="BF53" s="217">
        <f ca="1">IF($D53&lt;&gt;"Serviço",0,IF(OR(AND(AUTOEVENTO="Manual",$M53=1),$M53&gt;(ROW(PLE.lastrow)-ROW(PLE.firstrow))),0,IF(OFFSET(PLE!$G$14,$M53,BF$13)="",10^12,OFFSET(PLE!$G$14,$M53,BF$13))))</f>
        <v>0</v>
      </c>
      <c r="BG53" s="217">
        <f ca="1">IF($D53&lt;&gt;"Serviço",0,IF(OR(AND(AUTOEVENTO="Manual",$M53=1),$M53&gt;(ROW(PLE.lastrow)-ROW(PLE.firstrow))),0,IF(OFFSET(PLE!$G$14,$M53,BG$13)="",10^12,OFFSET(PLE!$G$14,$M53,BG$13))))</f>
        <v>0</v>
      </c>
    </row>
    <row r="54" spans="1:59" ht="25.5" x14ac:dyDescent="0.2">
      <c r="A54" s="9" t="str">
        <f t="shared" ca="1" si="8"/>
        <v>38</v>
      </c>
      <c r="B54" s="9" t="str">
        <f ca="1">OFFSET(ORÇAMENTO!C$15,ROW(B54)-ROW(B$15),0)</f>
        <v>S</v>
      </c>
      <c r="C54" s="9" t="str">
        <f ca="1">OFFSET(ORÇAMENTO!L$15,ROW(C54)-ROW(C$15),0)</f>
        <v>F</v>
      </c>
      <c r="D54" s="146" t="str">
        <f ca="1">OFFSET(ORÇAMENTO!N$15,ROW(D54)-ROW(D$15),0)</f>
        <v>Serviço</v>
      </c>
      <c r="E54" s="206" t="str">
        <f ca="1">OFFSET(ORÇAMENTO!O$15,ROW(E54)-ROW(E$15),0)</f>
        <v>4.1.1.</v>
      </c>
      <c r="F54" s="207" t="str">
        <f ca="1">OFFSET(ORÇAMENTO!R$15,ROW(F54)-ROW(F$15),0)</f>
        <v>RECOLOCACAO DE FOLHAS DE PORTA DE PASSAGEM OU JANELA, CONSIDERANDO REAPROVEITAMENTO DO MATERIAL</v>
      </c>
      <c r="G54" s="208" t="str">
        <f ca="1">IF($D54&lt;&gt;"Serviço","",OFFSET(ORÇAMENTO!S$15,ROW(G54)-ROW(G$15),0))</f>
        <v>UN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8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5</v>
      </c>
      <c r="N54" s="212" t="str">
        <f ca="1">IF($D54&lt;&gt;"Serviço","",IF(AUTOEVENTO="Manual",IF($A54=0,"&lt;-- defina o número do agrupador",OFFSET(EVENTOS!$D$14,$A54,0)),OFFSET($F$15,$A54,0)))</f>
        <v>(digite a descrição aqui)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25.5" x14ac:dyDescent="0.2">
      <c r="A55" s="9" t="str">
        <f t="shared" ca="1" si="8"/>
        <v>38</v>
      </c>
      <c r="B55" s="9" t="str">
        <f ca="1">OFFSET(ORÇAMENTO!C$15,ROW(B55)-ROW(B$15),0)</f>
        <v>S</v>
      </c>
      <c r="C55" s="9" t="str">
        <f ca="1">OFFSET(ORÇAMENTO!L$15,ROW(C55)-ROW(C$15),0)</f>
        <v>F</v>
      </c>
      <c r="D55" s="146" t="str">
        <f ca="1">OFFSET(ORÇAMENTO!N$15,ROW(D55)-ROW(D$15),0)</f>
        <v>Serviço</v>
      </c>
      <c r="E55" s="206" t="str">
        <f ca="1">OFFSET(ORÇAMENTO!O$15,ROW(E55)-ROW(E$15),0)</f>
        <v>4.1.2.</v>
      </c>
      <c r="F55" s="207" t="str">
        <f ca="1">OFFSET(ORÇAMENTO!R$15,ROW(F55)-ROW(F$15),0)</f>
        <v>PORTAO DE ABRIR EM GRADIL DE METALON REDONDO DE 3/4"  VERTICAL, COM REQUADRO, ACABAMENTO NATURAL - COMPLETO</v>
      </c>
      <c r="G55" s="208" t="str">
        <f ca="1">IF($D55&lt;&gt;"Serviço","",OFFSET(ORÇAMENTO!S$15,ROW(G55)-ROW(G$15),0))</f>
        <v xml:space="preserve">M2    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50.2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5</v>
      </c>
      <c r="N55" s="212" t="str">
        <f ca="1">IF($D55&lt;&gt;"Serviço","",IF(AUTOEVENTO="Manual",IF($A55=0,"&lt;-- defina o número do agrupador",OFFSET(EVENTOS!$D$14,$A55,0)),OFFSET($F$15,$A55,0)))</f>
        <v>(digite a descrição aqui)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38.25" x14ac:dyDescent="0.2">
      <c r="A56" s="9" t="str">
        <f t="shared" ca="1" si="8"/>
        <v>38</v>
      </c>
      <c r="B56" s="9" t="str">
        <f ca="1">OFFSET(ORÇAMENTO!C$15,ROW(B56)-ROW(B$15),0)</f>
        <v>S</v>
      </c>
      <c r="C56" s="9" t="str">
        <f ca="1">OFFSET(ORÇAMENTO!L$15,ROW(C56)-ROW(C$15),0)</f>
        <v>F</v>
      </c>
      <c r="D56" s="146" t="str">
        <f ca="1">OFFSET(ORÇAMENTO!N$15,ROW(D56)-ROW(D$15),0)</f>
        <v>Serviço</v>
      </c>
      <c r="E56" s="206" t="str">
        <f ca="1">OFFSET(ORÇAMENTO!O$15,ROW(E56)-ROW(E$15),0)</f>
        <v>4.1.3.</v>
      </c>
      <c r="F56" s="207" t="str">
        <f ca="1">OFFSET(ORÇAMENTO!R$15,ROW(F56)-ROW(F$15),0)</f>
        <v>KIT TELA MOSQUITEIRO EM PVC ,  COM MOLDURAS EM ALUMINIO METALON 100MMX50MM, ESPESSURA CHAPA 1,2MM, C/FIXAÇÕES,  INSTALADA - CONFORME DETALHE EM PROJETO</v>
      </c>
      <c r="G56" s="208" t="str">
        <f ca="1">IF($D56&lt;&gt;"Serviço","",OFFSET(ORÇAMENTO!S$15,ROW(G56)-ROW(G$15),0))</f>
        <v>M2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3.8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5</v>
      </c>
      <c r="N56" s="212" t="str">
        <f ca="1">IF($D56&lt;&gt;"Serviço","",IF(AUTOEVENTO="Manual",IF($A56=0,"&lt;-- defina o número do agrupador",OFFSET(EVENTOS!$D$14,$A56,0)),OFFSET($F$15,$A56,0)))</f>
        <v>(digite a descrição aqui)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51" x14ac:dyDescent="0.2">
      <c r="A57" s="9" t="str">
        <f t="shared" ca="1" si="8"/>
        <v>38</v>
      </c>
      <c r="B57" s="9" t="str">
        <f ca="1">OFFSET(ORÇAMENTO!C$15,ROW(B57)-ROW(B$15),0)</f>
        <v>S</v>
      </c>
      <c r="C57" s="9" t="str">
        <f ca="1">OFFSET(ORÇAMENTO!L$15,ROW(C57)-ROW(C$15),0)</f>
        <v>F</v>
      </c>
      <c r="D57" s="146" t="str">
        <f ca="1">OFFSET(ORÇAMENTO!N$15,ROW(D57)-ROW(D$15),0)</f>
        <v>Serviço</v>
      </c>
      <c r="E57" s="206" t="str">
        <f ca="1">OFFSET(ORÇAMENTO!O$15,ROW(E57)-ROW(E$15),0)</f>
        <v>4.1.4.</v>
      </c>
      <c r="F57" s="207" t="str">
        <f ca="1">OFFSET(ORÇAMENTO!R$15,ROW(F57)-ROW(F$15),0)</f>
        <v>JANELA DE CORRER EM ALUMINIO, 100 X 150 CM (A X L), 4 FLS, SEM BANDEIRA, ACABAMENTO ACET OU BRILHANTE, BATENTE/REQUADRO DE 6 A 14 CM, COM VIDRO, SEM GUARNICAO/ALIZAR</v>
      </c>
      <c r="G57" s="208" t="str">
        <f ca="1">IF($D57&lt;&gt;"Serviço","",OFFSET(ORÇAMENTO!S$15,ROW(G57)-ROW(G$15),0))</f>
        <v xml:space="preserve">M2    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5.4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5</v>
      </c>
      <c r="N57" s="212" t="str">
        <f ca="1">IF($D57&lt;&gt;"Serviço","",IF(AUTOEVENTO="Manual",IF($A57=0,"&lt;-- defina o número do agrupador",OFFSET(EVENTOS!$D$14,$A57,0)),OFFSET($F$15,$A57,0)))</f>
        <v>(digite a descrição aqui)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25.5" x14ac:dyDescent="0.2">
      <c r="A58" s="9" t="str">
        <f t="shared" ca="1" si="8"/>
        <v>38</v>
      </c>
      <c r="B58" s="9" t="str">
        <f ca="1">OFFSET(ORÇAMENTO!C$15,ROW(B58)-ROW(B$15),0)</f>
        <v>S</v>
      </c>
      <c r="C58" s="9" t="str">
        <f ca="1">OFFSET(ORÇAMENTO!L$15,ROW(C58)-ROW(C$15),0)</f>
        <v>F</v>
      </c>
      <c r="D58" s="146" t="str">
        <f ca="1">OFFSET(ORÇAMENTO!N$15,ROW(D58)-ROW(D$15),0)</f>
        <v>Serviço</v>
      </c>
      <c r="E58" s="206" t="str">
        <f ca="1">OFFSET(ORÇAMENTO!O$15,ROW(E58)-ROW(E$15),0)</f>
        <v>4.1.5.</v>
      </c>
      <c r="F58" s="207" t="str">
        <f ca="1">OFFSET(ORÇAMENTO!R$15,ROW(F58)-ROW(F$15),0)</f>
        <v>JANELA MAXIMO AR, ACO, BATENTE / REQUADRO DE 6 A 14 CM, PINT ANTICORROSIVA, SEM VIDRO, COM GRADE, 1 FL, 60  X 80 CM (A X L)</v>
      </c>
      <c r="G58" s="208" t="str">
        <f ca="1">IF($D58&lt;&gt;"Serviço","",OFFSET(ORÇAMENTO!S$15,ROW(G58)-ROW(G$15),0))</f>
        <v xml:space="preserve">UN    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10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5</v>
      </c>
      <c r="N58" s="212" t="str">
        <f ca="1">IF($D58&lt;&gt;"Serviço","",IF(AUTOEVENTO="Manual",IF($A58=0,"&lt;-- defina o número do agrupador",OFFSET(EVENTOS!$D$14,$A58,0)),OFFSET($F$15,$A58,0)))</f>
        <v>(digite a descrição aqui)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38.25" x14ac:dyDescent="0.2">
      <c r="A59" s="9" t="str">
        <f t="shared" ca="1" si="8"/>
        <v>38</v>
      </c>
      <c r="B59" s="9" t="str">
        <f ca="1">OFFSET(ORÇAMENTO!C$15,ROW(B59)-ROW(B$15),0)</f>
        <v>S</v>
      </c>
      <c r="C59" s="9" t="str">
        <f ca="1">OFFSET(ORÇAMENTO!L$15,ROW(C59)-ROW(C$15),0)</f>
        <v>F</v>
      </c>
      <c r="D59" s="146" t="str">
        <f ca="1">OFFSET(ORÇAMENTO!N$15,ROW(D59)-ROW(D$15),0)</f>
        <v>Serviço</v>
      </c>
      <c r="E59" s="206" t="str">
        <f ca="1">OFFSET(ORÇAMENTO!O$15,ROW(E59)-ROW(E$15),0)</f>
        <v>4.1.6.</v>
      </c>
      <c r="F59" s="207" t="str">
        <f ca="1">OFFSET(ORÇAMENTO!R$15,ROW(F59)-ROW(F$15),0)</f>
        <v>PORTA DE ALUMÍNIO DE ABRIR COM LAMBRI, COM GUARNIÇÃO, FIXAÇÃO COM PARAFUSOS - FORNECIMENTO E INSTALAÇÃO. AF_08/2015</v>
      </c>
      <c r="G59" s="208" t="str">
        <f ca="1">IF($D59&lt;&gt;"Serviço","",OFFSET(ORÇAMENTO!S$15,ROW(G59)-ROW(G$15),0))</f>
        <v>M2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10.08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5</v>
      </c>
      <c r="N59" s="212" t="str">
        <f ca="1">IF($D59&lt;&gt;"Serviço","",IF(AUTOEVENTO="Manual",IF($A59=0,"&lt;-- defina o número do agrupador",OFFSET(EVENTOS!$D$14,$A59,0)),OFFSET($F$15,$A59,0)))</f>
        <v>(digite a descrição aqui)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38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5</v>
      </c>
      <c r="N60" s="212" t="str">
        <f ca="1">IF($D60&lt;&gt;"Serviço","",IF(AUTOEVENTO="Manual",IF($A60=0,"&lt;-- defina o número do agrupador",OFFSET(EVENTOS!$D$14,$A60,0)),OFFSET($F$15,$A60,0)))</f>
        <v>(digite a descrição aqui)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38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5</v>
      </c>
      <c r="N61" s="212" t="str">
        <f ca="1">IF($D61&lt;&gt;"Serviço","",IF(AUTOEVENTO="Manual",IF($A61=0,"&lt;-- defina o número do agrupador",OFFSET(EVENTOS!$D$14,$A61,0)),OFFSET($F$15,$A61,0)))</f>
        <v>(digite a descrição aqui)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47.</v>
      </c>
      <c r="B62" s="9">
        <f ca="1">OFFSET(ORÇAMENTO!C$15,ROW(B62)-ROW(B$15),0)</f>
        <v>1</v>
      </c>
      <c r="C62" s="9" t="str">
        <f ca="1">OFFSET(ORÇAMENTO!L$15,ROW(C62)-ROW(C$15),0)</f>
        <v>F</v>
      </c>
      <c r="D62" s="146" t="str">
        <f ca="1">OFFSET(ORÇAMENTO!N$15,ROW(D62)-ROW(D$15),0)</f>
        <v>Meta</v>
      </c>
      <c r="E62" s="206" t="str">
        <f ca="1">OFFSET(ORÇAMENTO!O$15,ROW(E62)-ROW(E$15),0)</f>
        <v>5.</v>
      </c>
      <c r="F62" s="207" t="str">
        <f ca="1">OFFSET(ORÇAMENTO!R$15,ROW(F62)-ROW(F$15),0)</f>
        <v>fundações rasas, viga baldrame, pilares, vigas e paredes</v>
      </c>
      <c r="G62" s="208" t="str">
        <f ca="1">IF($D62&lt;&gt;"Serviço","",OFFSET(ORÇAMENTO!S$15,ROW(G62)-ROW(G$15),0))</f>
        <v/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 t="str">
        <f ca="1">IF($D62&lt;&gt;"Serviço","",IF(AUTOEVENTO="manual",$A62,IF(ISERROR(MATCH($A62,$A$15:OFFSET($A62,-1,0),0)),MAX($M$15:OFFSET(M62,-1,0))+1,INDEX($M$15:OFFSET(M62,-1,0),MATCH($A62,$A$15:OFFSET($A62,-1,0),0)))))</f>
        <v/>
      </c>
      <c r="N62" s="212" t="str">
        <f ca="1">IF($D62&lt;&gt;"Serviço","",IF(AUTOEVENTO="Manual",IF($A62=0,"&lt;-- defina o número do agrupador",OFFSET(EVENTOS!$D$14,$A62,0)),OFFSET($F$15,$A62,0)))</f>
        <v/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0</v>
      </c>
      <c r="AN62" s="216">
        <f ca="1">IF($D62&lt;&gt;"Serviço",0,IF(AND(AUTOEVENTO="Manual",$M62=1),0,IF(OFFSET(CRONOPLE!$F$14,$M62,AN$13)="",10^12,OFFSET(CRONOPLE!$F$14,$M62,AN$13))))</f>
        <v>0</v>
      </c>
      <c r="AO62" s="216">
        <f ca="1">IF($D62&lt;&gt;"Serviço",0,IF(AND(AUTOEVENTO="Manual",$M62=1),0,IF(OFFSET(CRONOPLE!$F$14,$M62,AO$13)="",10^12,OFFSET(CRONOPLE!$F$14,$M62,AO$13))))</f>
        <v>0</v>
      </c>
      <c r="AP62" s="216">
        <f ca="1">IF($D62&lt;&gt;"Serviço",0,IF(AND(AUTOEVENTO="Manual",$M62=1),0,IF(OFFSET(CRONOPLE!$F$14,$M62,AP$13)="",10^12,OFFSET(CRONOPLE!$F$14,$M62,AP$13))))</f>
        <v>0</v>
      </c>
      <c r="AQ62" s="216">
        <f ca="1">IF($D62&lt;&gt;"Serviço",0,IF(AND(AUTOEVENTO="Manual",$M62=1),0,IF(OFFSET(CRONOPLE!$F$14,$M62,AQ$13)="",10^12,OFFSET(CRONOPLE!$F$14,$M62,AQ$13))))</f>
        <v>0</v>
      </c>
      <c r="AR62" s="216">
        <f ca="1">IF($D62&lt;&gt;"Serviço",0,IF(AND(AUTOEVENTO="Manual",$M62=1),0,IF(OFFSET(CRONOPLE!$F$14,$M62,AR$13)="",10^12,OFFSET(CRONOPLE!$F$14,$M62,AR$13))))</f>
        <v>0</v>
      </c>
      <c r="AS62" s="216">
        <f ca="1">IF($D62&lt;&gt;"Serviço",0,IF(AND(AUTOEVENTO="Manual",$M62=1),0,IF(OFFSET(CRONOPLE!$F$14,$M62,AS$13)="",10^12,OFFSET(CRONOPLE!$F$14,$M62,AS$13))))</f>
        <v>0</v>
      </c>
      <c r="AT62" s="216">
        <f ca="1">IF($D62&lt;&gt;"Serviço",0,IF(AND(AUTOEVENTO="Manual",$M62=1),0,IF(OFFSET(CRONOPLE!$F$14,$M62,AT$13)="",10^12,OFFSET(CRONOPLE!$F$14,$M62,AT$13))))</f>
        <v>0</v>
      </c>
      <c r="AU62" s="216">
        <f ca="1">IF($D62&lt;&gt;"Serviço",0,IF(AND(AUTOEVENTO="Manual",$M62=1),0,IF(OFFSET(CRONOPLE!$F$14,$M62,AU$13)="",10^12,OFFSET(CRONOPLE!$F$14,$M62,AU$13))))</f>
        <v>0</v>
      </c>
      <c r="AV62" s="216">
        <f ca="1">IF($D62&lt;&gt;"Serviço",0,IF(AND(AUTOEVENTO="Manual",$M62=1),0,IF(OFFSET(CRONOPLE!$F$14,$M62,AV$13)="",10^12,OFFSET(CRONOPLE!$F$14,$M62,AV$13))))</f>
        <v>0</v>
      </c>
      <c r="AX62" s="217">
        <f ca="1">IF($D62&lt;&gt;"Serviço",0,IF(OR(AND(AUTOEVENTO="Manual",$M62=1),$M62&gt;(ROW(PLE.lastrow)-ROW(PLE.firstrow))),0,IF(OFFSET(PLE!$G$14,$M62,AX$13)="",10^12,OFFSET(PLE!$G$14,$M62,AX$13))))</f>
        <v>0</v>
      </c>
      <c r="AY62" s="217">
        <f ca="1">IF($D62&lt;&gt;"Serviço",0,IF(OR(AND(AUTOEVENTO="Manual",$M62=1),$M62&gt;(ROW(PLE.lastrow)-ROW(PLE.firstrow))),0,IF(OFFSET(PLE!$G$14,$M62,AY$13)="",10^12,OFFSET(PLE!$G$14,$M62,AY$13))))</f>
        <v>0</v>
      </c>
      <c r="AZ62" s="217">
        <f ca="1">IF($D62&lt;&gt;"Serviço",0,IF(OR(AND(AUTOEVENTO="Manual",$M62=1),$M62&gt;(ROW(PLE.lastrow)-ROW(PLE.firstrow))),0,IF(OFFSET(PLE!$G$14,$M62,AZ$13)="",10^12,OFFSET(PLE!$G$14,$M62,AZ$13))))</f>
        <v>0</v>
      </c>
      <c r="BA62" s="217">
        <f ca="1">IF($D62&lt;&gt;"Serviço",0,IF(OR(AND(AUTOEVENTO="Manual",$M62=1),$M62&gt;(ROW(PLE.lastrow)-ROW(PLE.firstrow))),0,IF(OFFSET(PLE!$G$14,$M62,BA$13)="",10^12,OFFSET(PLE!$G$14,$M62,BA$13))))</f>
        <v>0</v>
      </c>
      <c r="BB62" s="217">
        <f ca="1">IF($D62&lt;&gt;"Serviço",0,IF(OR(AND(AUTOEVENTO="Manual",$M62=1),$M62&gt;(ROW(PLE.lastrow)-ROW(PLE.firstrow))),0,IF(OFFSET(PLE!$G$14,$M62,BB$13)="",10^12,OFFSET(PLE!$G$14,$M62,BB$13))))</f>
        <v>0</v>
      </c>
      <c r="BC62" s="217">
        <f ca="1">IF($D62&lt;&gt;"Serviço",0,IF(OR(AND(AUTOEVENTO="Manual",$M62=1),$M62&gt;(ROW(PLE.lastrow)-ROW(PLE.firstrow))),0,IF(OFFSET(PLE!$G$14,$M62,BC$13)="",10^12,OFFSET(PLE!$G$14,$M62,BC$13))))</f>
        <v>0</v>
      </c>
      <c r="BD62" s="217">
        <f ca="1">IF($D62&lt;&gt;"Serviço",0,IF(OR(AND(AUTOEVENTO="Manual",$M62=1),$M62&gt;(ROW(PLE.lastrow)-ROW(PLE.firstrow))),0,IF(OFFSET(PLE!$G$14,$M62,BD$13)="",10^12,OFFSET(PLE!$G$14,$M62,BD$13))))</f>
        <v>0</v>
      </c>
      <c r="BE62" s="217">
        <f ca="1">IF($D62&lt;&gt;"Serviço",0,IF(OR(AND(AUTOEVENTO="Manual",$M62=1),$M62&gt;(ROW(PLE.lastrow)-ROW(PLE.firstrow))),0,IF(OFFSET(PLE!$G$14,$M62,BE$13)="",10^12,OFFSET(PLE!$G$14,$M62,BE$13))))</f>
        <v>0</v>
      </c>
      <c r="BF62" s="217">
        <f ca="1">IF($D62&lt;&gt;"Serviço",0,IF(OR(AND(AUTOEVENTO="Manual",$M62=1),$M62&gt;(ROW(PLE.lastrow)-ROW(PLE.firstrow))),0,IF(OFFSET(PLE!$G$14,$M62,BF$13)="",10^12,OFFSET(PLE!$G$14,$M62,BF$13))))</f>
        <v>0</v>
      </c>
      <c r="BG62" s="217">
        <f ca="1">IF($D62&lt;&gt;"Serviço",0,IF(OR(AND(AUTOEVENTO="Manual",$M62=1),$M62&gt;(ROW(PLE.lastrow)-ROW(PLE.firstrow))),0,IF(OFFSET(PLE!$G$14,$M62,BG$13)="",10^12,OFFSET(PLE!$G$14,$M62,BG$13))))</f>
        <v>0</v>
      </c>
    </row>
    <row r="63" spans="1:59" ht="12.75" x14ac:dyDescent="0.2">
      <c r="A63" s="9" t="str">
        <f t="shared" ca="1" si="8"/>
        <v>48.</v>
      </c>
      <c r="B63" s="9">
        <f ca="1">OFFSET(ORÇAMENTO!C$15,ROW(B63)-ROW(B$15),0)</f>
        <v>2</v>
      </c>
      <c r="C63" s="9" t="str">
        <f ca="1">OFFSET(ORÇAMENTO!L$15,ROW(C63)-ROW(C$15),0)</f>
        <v>F</v>
      </c>
      <c r="D63" s="146" t="str">
        <f ca="1">OFFSET(ORÇAMENTO!N$15,ROW(D63)-ROW(D$15),0)</f>
        <v>Nível 2</v>
      </c>
      <c r="E63" s="206" t="str">
        <f ca="1">OFFSET(ORÇAMENTO!O$15,ROW(E63)-ROW(E$15),0)</f>
        <v>5.1.</v>
      </c>
      <c r="F63" s="207" t="str">
        <f ca="1">OFFSET(ORÇAMENTO!R$15,ROW(F63)-ROW(F$15),0)</f>
        <v>(digite a descrição aqui)</v>
      </c>
      <c r="G63" s="208" t="str">
        <f ca="1">IF($D63&lt;&gt;"Serviço","",OFFSET(ORÇAMENTO!S$15,ROW(G63)-ROW(G$15),0))</f>
        <v/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 t="str">
        <f ca="1">IF($D63&lt;&gt;"Serviço","",IF(AUTOEVENTO="manual",$A63,IF(ISERROR(MATCH($A63,$A$15:OFFSET($A63,-1,0),0)),MAX($M$15:OFFSET(M63,-1,0))+1,INDEX($M$15:OFFSET(M63,-1,0),MATCH($A63,$A$15:OFFSET($A63,-1,0),0)))))</f>
        <v/>
      </c>
      <c r="N63" s="212" t="str">
        <f ca="1">IF($D63&lt;&gt;"Serviço","",IF(AUTOEVENTO="Manual",IF($A63=0,"&lt;-- defina o número do agrupador",OFFSET(EVENTOS!$D$14,$A63,0)),OFFSET($F$15,$A63,0)))</f>
        <v/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0</v>
      </c>
      <c r="AN63" s="216">
        <f ca="1">IF($D63&lt;&gt;"Serviço",0,IF(AND(AUTOEVENTO="Manual",$M63=1),0,IF(OFFSET(CRONOPLE!$F$14,$M63,AN$13)="",10^12,OFFSET(CRONOPLE!$F$14,$M63,AN$13))))</f>
        <v>0</v>
      </c>
      <c r="AO63" s="216">
        <f ca="1">IF($D63&lt;&gt;"Serviço",0,IF(AND(AUTOEVENTO="Manual",$M63=1),0,IF(OFFSET(CRONOPLE!$F$14,$M63,AO$13)="",10^12,OFFSET(CRONOPLE!$F$14,$M63,AO$13))))</f>
        <v>0</v>
      </c>
      <c r="AP63" s="216">
        <f ca="1">IF($D63&lt;&gt;"Serviço",0,IF(AND(AUTOEVENTO="Manual",$M63=1),0,IF(OFFSET(CRONOPLE!$F$14,$M63,AP$13)="",10^12,OFFSET(CRONOPLE!$F$14,$M63,AP$13))))</f>
        <v>0</v>
      </c>
      <c r="AQ63" s="216">
        <f ca="1">IF($D63&lt;&gt;"Serviço",0,IF(AND(AUTOEVENTO="Manual",$M63=1),0,IF(OFFSET(CRONOPLE!$F$14,$M63,AQ$13)="",10^12,OFFSET(CRONOPLE!$F$14,$M63,AQ$13))))</f>
        <v>0</v>
      </c>
      <c r="AR63" s="216">
        <f ca="1">IF($D63&lt;&gt;"Serviço",0,IF(AND(AUTOEVENTO="Manual",$M63=1),0,IF(OFFSET(CRONOPLE!$F$14,$M63,AR$13)="",10^12,OFFSET(CRONOPLE!$F$14,$M63,AR$13))))</f>
        <v>0</v>
      </c>
      <c r="AS63" s="216">
        <f ca="1">IF($D63&lt;&gt;"Serviço",0,IF(AND(AUTOEVENTO="Manual",$M63=1),0,IF(OFFSET(CRONOPLE!$F$14,$M63,AS$13)="",10^12,OFFSET(CRONOPLE!$F$14,$M63,AS$13))))</f>
        <v>0</v>
      </c>
      <c r="AT63" s="216">
        <f ca="1">IF($D63&lt;&gt;"Serviço",0,IF(AND(AUTOEVENTO="Manual",$M63=1),0,IF(OFFSET(CRONOPLE!$F$14,$M63,AT$13)="",10^12,OFFSET(CRONOPLE!$F$14,$M63,AT$13))))</f>
        <v>0</v>
      </c>
      <c r="AU63" s="216">
        <f ca="1">IF($D63&lt;&gt;"Serviço",0,IF(AND(AUTOEVENTO="Manual",$M63=1),0,IF(OFFSET(CRONOPLE!$F$14,$M63,AU$13)="",10^12,OFFSET(CRONOPLE!$F$14,$M63,AU$13))))</f>
        <v>0</v>
      </c>
      <c r="AV63" s="216">
        <f ca="1">IF($D63&lt;&gt;"Serviço",0,IF(AND(AUTOEVENTO="Manual",$M63=1),0,IF(OFFSET(CRONOPLE!$F$14,$M63,AV$13)="",10^12,OFFSET(CRONOPLE!$F$14,$M63,AV$13))))</f>
        <v>0</v>
      </c>
      <c r="AX63" s="217">
        <f ca="1">IF($D63&lt;&gt;"Serviço",0,IF(OR(AND(AUTOEVENTO="Manual",$M63=1),$M63&gt;(ROW(PLE.lastrow)-ROW(PLE.firstrow))),0,IF(OFFSET(PLE!$G$14,$M63,AX$13)="",10^12,OFFSET(PLE!$G$14,$M63,AX$13))))</f>
        <v>0</v>
      </c>
      <c r="AY63" s="217">
        <f ca="1">IF($D63&lt;&gt;"Serviço",0,IF(OR(AND(AUTOEVENTO="Manual",$M63=1),$M63&gt;(ROW(PLE.lastrow)-ROW(PLE.firstrow))),0,IF(OFFSET(PLE!$G$14,$M63,AY$13)="",10^12,OFFSET(PLE!$G$14,$M63,AY$13))))</f>
        <v>0</v>
      </c>
      <c r="AZ63" s="217">
        <f ca="1">IF($D63&lt;&gt;"Serviço",0,IF(OR(AND(AUTOEVENTO="Manual",$M63=1),$M63&gt;(ROW(PLE.lastrow)-ROW(PLE.firstrow))),0,IF(OFFSET(PLE!$G$14,$M63,AZ$13)="",10^12,OFFSET(PLE!$G$14,$M63,AZ$13))))</f>
        <v>0</v>
      </c>
      <c r="BA63" s="217">
        <f ca="1">IF($D63&lt;&gt;"Serviço",0,IF(OR(AND(AUTOEVENTO="Manual",$M63=1),$M63&gt;(ROW(PLE.lastrow)-ROW(PLE.firstrow))),0,IF(OFFSET(PLE!$G$14,$M63,BA$13)="",10^12,OFFSET(PLE!$G$14,$M63,BA$13))))</f>
        <v>0</v>
      </c>
      <c r="BB63" s="217">
        <f ca="1">IF($D63&lt;&gt;"Serviço",0,IF(OR(AND(AUTOEVENTO="Manual",$M63=1),$M63&gt;(ROW(PLE.lastrow)-ROW(PLE.firstrow))),0,IF(OFFSET(PLE!$G$14,$M63,BB$13)="",10^12,OFFSET(PLE!$G$14,$M63,BB$13))))</f>
        <v>0</v>
      </c>
      <c r="BC63" s="217">
        <f ca="1">IF($D63&lt;&gt;"Serviço",0,IF(OR(AND(AUTOEVENTO="Manual",$M63=1),$M63&gt;(ROW(PLE.lastrow)-ROW(PLE.firstrow))),0,IF(OFFSET(PLE!$G$14,$M63,BC$13)="",10^12,OFFSET(PLE!$G$14,$M63,BC$13))))</f>
        <v>0</v>
      </c>
      <c r="BD63" s="217">
        <f ca="1">IF($D63&lt;&gt;"Serviço",0,IF(OR(AND(AUTOEVENTO="Manual",$M63=1),$M63&gt;(ROW(PLE.lastrow)-ROW(PLE.firstrow))),0,IF(OFFSET(PLE!$G$14,$M63,BD$13)="",10^12,OFFSET(PLE!$G$14,$M63,BD$13))))</f>
        <v>0</v>
      </c>
      <c r="BE63" s="217">
        <f ca="1">IF($D63&lt;&gt;"Serviço",0,IF(OR(AND(AUTOEVENTO="Manual",$M63=1),$M63&gt;(ROW(PLE.lastrow)-ROW(PLE.firstrow))),0,IF(OFFSET(PLE!$G$14,$M63,BE$13)="",10^12,OFFSET(PLE!$G$14,$M63,BE$13))))</f>
        <v>0</v>
      </c>
      <c r="BF63" s="217">
        <f ca="1">IF($D63&lt;&gt;"Serviço",0,IF(OR(AND(AUTOEVENTO="Manual",$M63=1),$M63&gt;(ROW(PLE.lastrow)-ROW(PLE.firstrow))),0,IF(OFFSET(PLE!$G$14,$M63,BF$13)="",10^12,OFFSET(PLE!$G$14,$M63,BF$13))))</f>
        <v>0</v>
      </c>
      <c r="BG63" s="217">
        <f ca="1">IF($D63&lt;&gt;"Serviço",0,IF(OR(AND(AUTOEVENTO="Manual",$M63=1),$M63&gt;(ROW(PLE.lastrow)-ROW(PLE.firstrow))),0,IF(OFFSET(PLE!$G$14,$M63,BG$13)="",10^12,OFFSET(PLE!$G$14,$M63,BG$13))))</f>
        <v>0</v>
      </c>
    </row>
    <row r="64" spans="1:59" ht="25.5" x14ac:dyDescent="0.2">
      <c r="A64" s="9" t="str">
        <f t="shared" ca="1" si="8"/>
        <v>48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6" t="str">
        <f ca="1">OFFSET(ORÇAMENTO!N$15,ROW(D64)-ROW(D$15),0)</f>
        <v>Serviço</v>
      </c>
      <c r="E64" s="206" t="str">
        <f ca="1">OFFSET(ORÇAMENTO!O$15,ROW(E64)-ROW(E$15),0)</f>
        <v>5.1.1.</v>
      </c>
      <c r="F64" s="207" t="str">
        <f ca="1">OFFSET(ORÇAMENTO!R$15,ROW(F64)-ROW(F$15),0)</f>
        <v xml:space="preserve"> coifa aço inox  430 na chapa 22 , medindo: 1,73m x 1,20cm x 0,60 c/ exaustor de  0,40cm diâmetro, com10 metros de dutos inox instalada</v>
      </c>
      <c r="G64" s="208" t="str">
        <f ca="1">IF($D64&lt;&gt;"Serviço","",OFFSET(ORÇAMENTO!S$15,ROW(G64)-ROW(G$15),0))</f>
        <v>UNIDADE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1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(digite a descrição aqui)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25.5" x14ac:dyDescent="0.2">
      <c r="A65" s="9" t="str">
        <f t="shared" ca="1" si="8"/>
        <v>48</v>
      </c>
      <c r="B65" s="9" t="str">
        <f ca="1">OFFSET(ORÇAMENTO!C$15,ROW(B65)-ROW(B$15),0)</f>
        <v>S</v>
      </c>
      <c r="C65" s="9" t="str">
        <f ca="1">OFFSET(ORÇAMENTO!L$15,ROW(C65)-ROW(C$15),0)</f>
        <v>F</v>
      </c>
      <c r="D65" s="146" t="str">
        <f ca="1">OFFSET(ORÇAMENTO!N$15,ROW(D65)-ROW(D$15),0)</f>
        <v>Serviço</v>
      </c>
      <c r="E65" s="206" t="str">
        <f ca="1">OFFSET(ORÇAMENTO!O$15,ROW(E65)-ROW(E$15),0)</f>
        <v>5.1.2.</v>
      </c>
      <c r="F65" s="207" t="str">
        <f ca="1">OFFSET(ORÇAMENTO!R$15,ROW(F65)-ROW(F$15),0)</f>
        <v xml:space="preserve"> coifa aço inox  430 na chapa 22 , medindo: 1,20m x 1,20cm x 0,60 c/ exaustor de  0,40cm diâmetro, com 5 metros de dutos inox instalada</v>
      </c>
      <c r="G65" s="208" t="str">
        <f ca="1">IF($D65&lt;&gt;"Serviço","",OFFSET(ORÇAMENTO!S$15,ROW(G65)-ROW(G$15),0))</f>
        <v>UNIDADE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1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(digite a descrição aqui)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51" x14ac:dyDescent="0.2">
      <c r="A66" s="9" t="str">
        <f t="shared" ca="1" si="8"/>
        <v>48</v>
      </c>
      <c r="B66" s="9" t="str">
        <f ca="1">OFFSET(ORÇAMENTO!C$15,ROW(B66)-ROW(B$15),0)</f>
        <v>S</v>
      </c>
      <c r="C66" s="9" t="str">
        <f ca="1">OFFSET(ORÇAMENTO!L$15,ROW(C66)-ROW(C$15),0)</f>
        <v>F</v>
      </c>
      <c r="D66" s="146" t="str">
        <f ca="1">OFFSET(ORÇAMENTO!N$15,ROW(D66)-ROW(D$15),0)</f>
        <v>Serviço</v>
      </c>
      <c r="E66" s="206" t="str">
        <f ca="1">OFFSET(ORÇAMENTO!O$15,ROW(E66)-ROW(E$15),0)</f>
        <v>5.1.3.</v>
      </c>
      <c r="F66" s="207" t="str">
        <f ca="1">OFFSET(ORÇAMENTO!R$15,ROW(F66)-ROW(F$15),0)</f>
        <v>ALVENARIA DE VEDAÇÃO DE BLOCOS CERÂMICOS FURADOS NA HORIZONTAL DE 9X19X19CM (ESPESSURA 9CM) DE PAREDES COM ÁREA LÍQUIDA MENOR QUE 6M² SEM VÃOS E ARGAMASSA DE ASSENTAMENTO COM PREPARO EM BETONEIRA. AF_06/2014</v>
      </c>
      <c r="G66" s="208" t="str">
        <f ca="1">IF($D66&lt;&gt;"Serviço","",OFFSET(ORÇAMENTO!S$15,ROW(G66)-ROW(G$15),0))</f>
        <v>M2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145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(digite a descrição aqui)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38.25" x14ac:dyDescent="0.2">
      <c r="A67" s="9" t="str">
        <f t="shared" ca="1" si="8"/>
        <v>48</v>
      </c>
      <c r="B67" s="9" t="str">
        <f ca="1">OFFSET(ORÇAMENTO!C$15,ROW(B67)-ROW(B$15),0)</f>
        <v>S</v>
      </c>
      <c r="C67" s="9" t="str">
        <f ca="1">OFFSET(ORÇAMENTO!L$15,ROW(C67)-ROW(C$15),0)</f>
        <v>F</v>
      </c>
      <c r="D67" s="146" t="str">
        <f ca="1">OFFSET(ORÇAMENTO!N$15,ROW(D67)-ROW(D$15),0)</f>
        <v>Serviço</v>
      </c>
      <c r="E67" s="206" t="str">
        <f ca="1">OFFSET(ORÇAMENTO!O$15,ROW(E67)-ROW(E$15),0)</f>
        <v>5.1.4.</v>
      </c>
      <c r="F67" s="207" t="str">
        <f ca="1">OFFSET(ORÇAMENTO!R$15,ROW(F67)-ROW(F$15),0)</f>
        <v>RECOLOCACAO DE DIVISORIAS TIPO CHAPAS OU TABUAS, INCLUSIVE ENTARUGAMENTO, CONSIDERANDO REAPROVEITAMENTO DO MATERIAL</v>
      </c>
      <c r="G67" s="208" t="str">
        <f ca="1">IF($D67&lt;&gt;"Serviço","",OFFSET(ORÇAMENTO!S$15,ROW(G67)-ROW(G$15),0))</f>
        <v>M2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26.7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(digite a descrição aqui)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25.5" x14ac:dyDescent="0.2">
      <c r="A68" s="9" t="str">
        <f t="shared" ca="1" si="8"/>
        <v>48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6" t="str">
        <f ca="1">OFFSET(ORÇAMENTO!N$15,ROW(D68)-ROW(D$15),0)</f>
        <v>Serviço</v>
      </c>
      <c r="E68" s="206" t="str">
        <f ca="1">OFFSET(ORÇAMENTO!O$15,ROW(E68)-ROW(E$15),0)</f>
        <v>5.1.5.</v>
      </c>
      <c r="F68" s="207" t="str">
        <f ca="1">OFFSET(ORÇAMENTO!R$15,ROW(F68)-ROW(F$15),0)</f>
        <v>CHAPISCO APLICADO EM ALVENARIA , COM COLHER DE PEDREIRO, PREPARO EM BETORNEIRA</v>
      </c>
      <c r="G68" s="208" t="str">
        <f ca="1">IF($D68&lt;&gt;"Serviço","",OFFSET(ORÇAMENTO!S$15,ROW(G68)-ROW(G$15),0))</f>
        <v>M2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320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(digite a descrição aqui)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38.25" x14ac:dyDescent="0.2">
      <c r="A69" s="9" t="str">
        <f t="shared" ca="1" si="8"/>
        <v>48</v>
      </c>
      <c r="B69" s="9" t="str">
        <f ca="1">OFFSET(ORÇAMENTO!C$15,ROW(B69)-ROW(B$15),0)</f>
        <v>S</v>
      </c>
      <c r="C69" s="9" t="str">
        <f ca="1">OFFSET(ORÇAMENTO!L$15,ROW(C69)-ROW(C$15),0)</f>
        <v>F</v>
      </c>
      <c r="D69" s="146" t="str">
        <f ca="1">OFFSET(ORÇAMENTO!N$15,ROW(D69)-ROW(D$15),0)</f>
        <v>Serviço</v>
      </c>
      <c r="E69" s="206" t="str">
        <f ca="1">OFFSET(ORÇAMENTO!O$15,ROW(E69)-ROW(E$15),0)</f>
        <v>5.1.6.</v>
      </c>
      <c r="F69" s="207" t="str">
        <f ca="1">OFFSET(ORÇAMENTO!R$15,ROW(F69)-ROW(F$15),0)</f>
        <v>EMBOÇO OU MASSA ÚNICA EM ARGAMASSA TRAÇO 1:2:8, PREPARO MANUAL, APLICADA MANUALMENTE EM PANOS DE FACHADA COM PRESENÇA DE VÃOS, ESPESSURA DE 25 MM. AF_06/2014</v>
      </c>
      <c r="G69" s="208" t="str">
        <f ca="1">IF($D69&lt;&gt;"Serviço","",OFFSET(ORÇAMENTO!S$15,ROW(G69)-ROW(G$15),0))</f>
        <v>M2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320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(digite a descrição aqui)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51" x14ac:dyDescent="0.2">
      <c r="A70" s="9" t="str">
        <f t="shared" ca="1" si="8"/>
        <v>48</v>
      </c>
      <c r="B70" s="9" t="str">
        <f ca="1">OFFSET(ORÇAMENTO!C$15,ROW(B70)-ROW(B$15),0)</f>
        <v>S</v>
      </c>
      <c r="C70" s="9" t="str">
        <f ca="1">OFFSET(ORÇAMENTO!L$15,ROW(C70)-ROW(C$15),0)</f>
        <v>F</v>
      </c>
      <c r="D70" s="146" t="str">
        <f ca="1">OFFSET(ORÇAMENTO!N$15,ROW(D70)-ROW(D$15),0)</f>
        <v>Serviço</v>
      </c>
      <c r="E70" s="206" t="str">
        <f ca="1">OFFSET(ORÇAMENTO!O$15,ROW(E70)-ROW(E$15),0)</f>
        <v>5.1.7.</v>
      </c>
      <c r="F70" s="207" t="str">
        <f ca="1">OFFSET(ORÇAMENTO!R$15,ROW(F70)-ROW(F$15),0)</f>
        <v>REVESTIMENTO CERÂMICO PARA PAREDES INTERNAS COM PLACAS TIPO ESMALTADA EXTRA DE DIMENSÕES 20X20 CM APLICADAS EM AMBIENTES DE ÁREA MENOR QUE 5 M² A MEIA ALTURA DAS PAREDES. AF_06/2014</v>
      </c>
      <c r="G70" s="208" t="str">
        <f ca="1">IF($D70&lt;&gt;"Serviço","",OFFSET(ORÇAMENTO!S$15,ROW(G70)-ROW(G$15),0))</f>
        <v>M2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70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(digite a descrição aqui)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51" x14ac:dyDescent="0.2">
      <c r="A71" s="9" t="str">
        <f t="shared" ca="1" si="8"/>
        <v>48</v>
      </c>
      <c r="B71" s="9" t="str">
        <f ca="1">OFFSET(ORÇAMENTO!C$15,ROW(B71)-ROW(B$15),0)</f>
        <v>S</v>
      </c>
      <c r="C71" s="9" t="str">
        <f ca="1">OFFSET(ORÇAMENTO!L$15,ROW(C71)-ROW(C$15),0)</f>
        <v>F</v>
      </c>
      <c r="D71" s="146" t="str">
        <f ca="1">OFFSET(ORÇAMENTO!N$15,ROW(D71)-ROW(D$15),0)</f>
        <v>Serviço</v>
      </c>
      <c r="E71" s="206" t="str">
        <f ca="1">OFFSET(ORÇAMENTO!O$15,ROW(E71)-ROW(E$15),0)</f>
        <v>5.1.8.</v>
      </c>
      <c r="F71" s="207" t="str">
        <f ca="1">OFFSET(ORÇAMENTO!R$15,ROW(F71)-ROW(F$15),0)</f>
        <v>MASSA ÚNICA, PARA RECEBIMENTO DE PINTURA, EM ARGAMASSA TRAÇO 1:2:8, PREPARO MANUAL, APLICADA MANUALMENTE EM FACES INTERNAS DE PAREDES, ESPESSURA DE 10MM, COM EXECUÇÃO DE TALISCAS. AF_06/2014</v>
      </c>
      <c r="G71" s="208" t="str">
        <f ca="1">IF($D71&lt;&gt;"Serviço","",OFFSET(ORÇAMENTO!S$15,ROW(G71)-ROW(G$15),0))</f>
        <v>M2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250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2" t="str">
        <f ca="1">IF($D71&lt;&gt;"Serviço","",IF(AUTOEVENTO="Manual",IF($A71=0,"&lt;-- defina o número do agrupador",OFFSET(EVENTOS!$D$14,$A71,0)),OFFSET($F$15,$A71,0)))</f>
        <v>(digite a descrição aqui)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38.25" x14ac:dyDescent="0.2">
      <c r="A72" s="9" t="str">
        <f t="shared" ca="1" si="8"/>
        <v>48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6" t="str">
        <f ca="1">OFFSET(ORÇAMENTO!N$15,ROW(D72)-ROW(D$15),0)</f>
        <v>Serviço</v>
      </c>
      <c r="E72" s="206" t="str">
        <f ca="1">OFFSET(ORÇAMENTO!O$15,ROW(E72)-ROW(E$15),0)</f>
        <v>5.1.9.</v>
      </c>
      <c r="F72" s="207" t="str">
        <f ca="1">OFFSET(ORÇAMENTO!R$15,ROW(F72)-ROW(F$15),0)</f>
        <v>APLICAÇÃO MANUAL DE PINTURA COM TINTA TEXTURIZADA ACRÍLICA EM SUPERFÍCIES EXTERNAS DE SACADA DE EDIFÍCIOS DE MÚLTIPLOS PAVIMENTOS, DUAS CORES. AF_06/2014</v>
      </c>
      <c r="G72" s="208" t="str">
        <f ca="1">IF($D72&lt;&gt;"Serviço","",OFFSET(ORÇAMENTO!S$15,ROW(G72)-ROW(G$15),0))</f>
        <v>M2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250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2" t="str">
        <f ca="1">IF($D72&lt;&gt;"Serviço","",IF(AUTOEVENTO="Manual",IF($A72=0,"&lt;-- defina o número do agrupador",OFFSET(EVENTOS!$D$14,$A72,0)),OFFSET($F$15,$A72,0)))</f>
        <v>(digite a descrição aqui)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48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6" t="str">
        <f ca="1">OFFSET(ORÇAMENTO!N$15,ROW(D73)-ROW(D$15),0)</f>
        <v>Serviço</v>
      </c>
      <c r="E73" s="206" t="str">
        <f ca="1">OFFSET(ORÇAMENTO!O$15,ROW(E73)-ROW(E$15),0)</f>
        <v>5.1.10.</v>
      </c>
      <c r="F73" s="207" t="str">
        <f ca="1">OFFSET(ORÇAMENTO!R$15,ROW(F73)-ROW(F$15),0)</f>
        <v>REJUNTE EPOXI BRANCO</v>
      </c>
      <c r="G73" s="208" t="str">
        <f ca="1">IF($D73&lt;&gt;"Serviço","",OFFSET(ORÇAMENTO!S$15,ROW(G73)-ROW(G$15),0))</f>
        <v xml:space="preserve">KG    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30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2" t="str">
        <f ca="1">IF($D73&lt;&gt;"Serviço","",IF(AUTOEVENTO="Manual",IF($A73=0,"&lt;-- defina o número do agrupador",OFFSET(EVENTOS!$D$14,$A73,0)),OFFSET($F$15,$A73,0)))</f>
        <v>(digite a descrição aqui)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25.5" x14ac:dyDescent="0.2">
      <c r="A74" s="9" t="str">
        <f t="shared" ca="1" si="8"/>
        <v>48</v>
      </c>
      <c r="B74" s="9" t="str">
        <f ca="1">OFFSET(ORÇAMENTO!C$15,ROW(B74)-ROW(B$15),0)</f>
        <v>S</v>
      </c>
      <c r="C74" s="9" t="str">
        <f ca="1">OFFSET(ORÇAMENTO!L$15,ROW(C74)-ROW(C$15),0)</f>
        <v>F</v>
      </c>
      <c r="D74" s="146" t="str">
        <f ca="1">OFFSET(ORÇAMENTO!N$15,ROW(D74)-ROW(D$15),0)</f>
        <v>Serviço</v>
      </c>
      <c r="E74" s="206" t="str">
        <f ca="1">OFFSET(ORÇAMENTO!O$15,ROW(E74)-ROW(E$15),0)</f>
        <v>5.1.11.</v>
      </c>
      <c r="F74" s="207" t="str">
        <f ca="1">OFFSET(ORÇAMENTO!R$15,ROW(F74)-ROW(F$15),0)</f>
        <v>REQUADRO EM ALVENARIA ,EM ABERTURA DE PORTAS E JANELAS COM CHAPISCO E EMBOÇO</v>
      </c>
      <c r="G74" s="208" t="str">
        <f ca="1">IF($D74&lt;&gt;"Serviço","",OFFSET(ORÇAMENTO!S$15,ROW(G74)-ROW(G$15),0))</f>
        <v>M2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35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2" t="str">
        <f ca="1">IF($D74&lt;&gt;"Serviço","",IF(AUTOEVENTO="Manual",IF($A74=0,"&lt;-- defina o número do agrupador",OFFSET(EVENTOS!$D$14,$A74,0)),OFFSET($F$15,$A74,0)))</f>
        <v>(digite a descrição aqui)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25.5" x14ac:dyDescent="0.2">
      <c r="A75" s="9" t="str">
        <f t="shared" ca="1" si="8"/>
        <v>48</v>
      </c>
      <c r="B75" s="9" t="str">
        <f ca="1">OFFSET(ORÇAMENTO!C$15,ROW(B75)-ROW(B$15),0)</f>
        <v>S</v>
      </c>
      <c r="C75" s="9" t="str">
        <f ca="1">OFFSET(ORÇAMENTO!L$15,ROW(C75)-ROW(C$15),0)</f>
        <v>F</v>
      </c>
      <c r="D75" s="146" t="str">
        <f ca="1">OFFSET(ORÇAMENTO!N$15,ROW(D75)-ROW(D$15),0)</f>
        <v>Serviço</v>
      </c>
      <c r="E75" s="206" t="str">
        <f ca="1">OFFSET(ORÇAMENTO!O$15,ROW(E75)-ROW(E$15),0)</f>
        <v>5.1.12.</v>
      </c>
      <c r="F75" s="207" t="str">
        <f ca="1">OFFSET(ORÇAMENTO!R$15,ROW(F75)-ROW(F$15),0)</f>
        <v>CONCRETO FCK = 20MPA, TRAÇO 1:2,7:3 (CIMENTO/ AREIA MÉDIA/ BRITA 1)  - PREPARO MECÂNICO COM BETONEIRA 400 L. AF_07/2016</v>
      </c>
      <c r="G75" s="208" t="str">
        <f ca="1">IF($D75&lt;&gt;"Serviço","",OFFSET(ORÇAMENTO!S$15,ROW(G75)-ROW(G$15),0))</f>
        <v>M3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4.0999999999999996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2" t="str">
        <f ca="1">IF($D75&lt;&gt;"Serviço","",IF(AUTOEVENTO="Manual",IF($A75=0,"&lt;-- defina o número do agrupador",OFFSET(EVENTOS!$D$14,$A75,0)),OFFSET($F$15,$A75,0)))</f>
        <v>(digite a descrição aqui)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51" x14ac:dyDescent="0.2">
      <c r="A76" s="9" t="str">
        <f t="shared" ca="1" si="8"/>
        <v>48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6" t="str">
        <f ca="1">OFFSET(ORÇAMENTO!N$15,ROW(D76)-ROW(D$15),0)</f>
        <v>Serviço</v>
      </c>
      <c r="E76" s="206" t="str">
        <f ca="1">OFFSET(ORÇAMENTO!O$15,ROW(E76)-ROW(E$15),0)</f>
        <v>5.1.13.</v>
      </c>
      <c r="F76" s="207" t="str">
        <f ca="1">OFFSET(ORÇAMENTO!R$15,ROW(F76)-ROW(F$15),0)</f>
        <v>ARMAÇÃO DE PILAR OU VIGA DE UMA ESTRUTURA CONVENCIONAL DE CONCRETO ARMADO EM UM EDIFÍCIO DE MÚLTIPLOS PAVIMENTOS UTILIZANDO AÇO CA-50 DE 8,0 MM - MONTAGEM. AF_12/2015</v>
      </c>
      <c r="G76" s="208" t="str">
        <f ca="1">IF($D76&lt;&gt;"Serviço","",OFFSET(ORÇAMENTO!S$15,ROW(G76)-ROW(G$15),0))</f>
        <v>KG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239.59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2" t="str">
        <f ca="1">IF($D76&lt;&gt;"Serviço","",IF(AUTOEVENTO="Manual",IF($A76=0,"&lt;-- defina o número do agrupador",OFFSET(EVENTOS!$D$14,$A76,0)),OFFSET($F$15,$A76,0)))</f>
        <v>(digite a descrição aqui)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38.25" x14ac:dyDescent="0.2">
      <c r="A77" s="9" t="str">
        <f t="shared" ca="1" si="8"/>
        <v>48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6" t="str">
        <f ca="1">OFFSET(ORÇAMENTO!N$15,ROW(D77)-ROW(D$15),0)</f>
        <v>Serviço</v>
      </c>
      <c r="E77" s="206" t="str">
        <f ca="1">OFFSET(ORÇAMENTO!O$15,ROW(E77)-ROW(E$15),0)</f>
        <v>5.1.14.</v>
      </c>
      <c r="F77" s="207" t="str">
        <f ca="1">OFFSET(ORÇAMENTO!R$15,ROW(F77)-ROW(F$15),0)</f>
        <v>ARMAÇÃO DE LAJE DE UMA ESTRUTURA CONVENCIONAL DE CONCRETO ARMADO EM UM EDIFÍCIO DE MÚLTIPLOS PAVIMENTOS UTILIZANDO AÇO CA-60 DE 5,0 MM - MONTAGEM. AF_12/2015</v>
      </c>
      <c r="G77" s="208" t="str">
        <f ca="1">IF($D77&lt;&gt;"Serviço","",OFFSET(ORÇAMENTO!S$15,ROW(G77)-ROW(G$15),0))</f>
        <v>KG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111.65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2" t="str">
        <f ca="1">IF($D77&lt;&gt;"Serviço","",IF(AUTOEVENTO="Manual",IF($A77=0,"&lt;-- defina o número do agrupador",OFFSET(EVENTOS!$D$14,$A77,0)),OFFSET($F$15,$A77,0)))</f>
        <v>(digite a descrição aqui)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38.25" x14ac:dyDescent="0.2">
      <c r="A78" s="9" t="str">
        <f t="shared" ca="1" si="8"/>
        <v>48</v>
      </c>
      <c r="B78" s="9" t="str">
        <f ca="1">OFFSET(ORÇAMENTO!C$15,ROW(B78)-ROW(B$15),0)</f>
        <v>S</v>
      </c>
      <c r="C78" s="9" t="str">
        <f ca="1">OFFSET(ORÇAMENTO!L$15,ROW(C78)-ROW(C$15),0)</f>
        <v>F</v>
      </c>
      <c r="D78" s="146" t="str">
        <f ca="1">OFFSET(ORÇAMENTO!N$15,ROW(D78)-ROW(D$15),0)</f>
        <v>Serviço</v>
      </c>
      <c r="E78" s="206" t="str">
        <f ca="1">OFFSET(ORÇAMENTO!O$15,ROW(E78)-ROW(E$15),0)</f>
        <v>5.1.15.</v>
      </c>
      <c r="F78" s="207" t="str">
        <f ca="1">OFFSET(ORÇAMENTO!R$15,ROW(F78)-ROW(F$15),0)</f>
        <v>ESTACA BROCA DE CONCRETO, DIÃMETRO DE 25 CM, PROFUNDIDADE DE ATÉ 3 M, ESCAVAÇÃO MANUAL COM TRADO CONCHA, NÃO ARMADA. AF_03/2018</v>
      </c>
      <c r="G78" s="208" t="str">
        <f ca="1">IF($D78&lt;&gt;"Serviço","",OFFSET(ORÇAMENTO!S$15,ROW(G78)-ROW(G$15),0))</f>
        <v>M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45.5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12" t="str">
        <f ca="1">IF($D78&lt;&gt;"Serviço","",IF(AUTOEVENTO="Manual",IF($A78=0,"&lt;-- defina o número do agrupador",OFFSET(EVENTOS!$D$14,$A78,0)),OFFSET($F$15,$A78,0)))</f>
        <v>(digite a descrição aqui)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25.5" x14ac:dyDescent="0.2">
      <c r="A79" s="9" t="str">
        <f t="shared" ca="1" si="8"/>
        <v>48</v>
      </c>
      <c r="B79" s="9" t="str">
        <f ca="1">OFFSET(ORÇAMENTO!C$15,ROW(B79)-ROW(B$15),0)</f>
        <v>S</v>
      </c>
      <c r="C79" s="9" t="str">
        <f ca="1">OFFSET(ORÇAMENTO!L$15,ROW(C79)-ROW(C$15),0)</f>
        <v>F</v>
      </c>
      <c r="D79" s="146" t="str">
        <f ca="1">OFFSET(ORÇAMENTO!N$15,ROW(D79)-ROW(D$15),0)</f>
        <v>Serviço</v>
      </c>
      <c r="E79" s="206" t="str">
        <f ca="1">OFFSET(ORÇAMENTO!O$15,ROW(E79)-ROW(E$15),0)</f>
        <v>5.1.16.</v>
      </c>
      <c r="F79" s="207" t="str">
        <f ca="1">OFFSET(ORÇAMENTO!R$15,ROW(F79)-ROW(F$15),0)</f>
        <v>CHAPA DE MADEIRA COMPENSADA RESINADA PARA FORMA DE CONCRETO, DE *2,2 X 1,1* M, E = 17 MM</v>
      </c>
      <c r="G79" s="208" t="str">
        <f ca="1">IF($D79&lt;&gt;"Serviço","",OFFSET(ORÇAMENTO!S$15,ROW(G79)-ROW(G$15),0))</f>
        <v xml:space="preserve">M2    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82.8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12" t="str">
        <f ca="1">IF($D79&lt;&gt;"Serviço","",IF(AUTOEVENTO="Manual",IF($A79=0,"&lt;-- defina o número do agrupador",OFFSET(EVENTOS!$D$14,$A79,0)),OFFSET($F$15,$A79,0)))</f>
        <v>(digite a descrição aqui)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38.2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48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6" t="str">
        <f ca="1">OFFSET(ORÇAMENTO!N$15,ROW(D80)-ROW(D$15),0)</f>
        <v>Serviço</v>
      </c>
      <c r="E80" s="206" t="str">
        <f ca="1">OFFSET(ORÇAMENTO!O$15,ROW(E80)-ROW(E$15),0)</f>
        <v>5.1.17.</v>
      </c>
      <c r="F80" s="207" t="str">
        <f ca="1">OFFSET(ORÇAMENTO!R$15,ROW(F80)-ROW(F$15),0)</f>
        <v>REPARO DE COLUNAS DE ESTRUTURA DE CONCRETO E TRATAMENTO DE JUNTA DE DILATAÇÃO COM PERFIL EM ALUMINIO L:8CM E e:2MM</v>
      </c>
      <c r="G80" s="208" t="str">
        <f ca="1">IF($D80&lt;&gt;"Serviço","",OFFSET(ORÇAMENTO!S$15,ROW(G80)-ROW(G$15),0))</f>
        <v>UNIDADE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1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12" t="str">
        <f ca="1">IF($D80&lt;&gt;"Serviço","",IF(AUTOEVENTO="Manual",IF($A80=0,"&lt;-- defina o número do agrupador",OFFSET(EVENTOS!$D$14,$A80,0)),OFFSET($F$15,$A80,0)))</f>
        <v>(digite a descrição aqui)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48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6</v>
      </c>
      <c r="N81" s="212" t="str">
        <f ca="1">IF($D81&lt;&gt;"Serviço","",IF(AUTOEVENTO="Manual",IF($A81=0,"&lt;-- defina o número do agrupador",OFFSET(EVENTOS!$D$14,$A81,0)),OFFSET($F$15,$A81,0)))</f>
        <v>(digite a descrição aqui)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48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6</v>
      </c>
      <c r="N82" s="212" t="str">
        <f ca="1">IF($D82&lt;&gt;"Serviço","",IF(AUTOEVENTO="Manual",IF($A82=0,"&lt;-- defina o número do agrupador",OFFSET(EVENTOS!$D$14,$A82,0)),OFFSET($F$15,$A82,0)))</f>
        <v>(digite a descrição aqui)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48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6</v>
      </c>
      <c r="N83" s="212" t="str">
        <f ca="1">IF($D83&lt;&gt;"Serviço","",IF(AUTOEVENTO="Manual",IF($A83=0,"&lt;-- defina o número do agrupador",OFFSET(EVENTOS!$D$14,$A83,0)),OFFSET($F$15,$A83,0)))</f>
        <v>(digite a descrição aqui)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48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6</v>
      </c>
      <c r="N84" s="212" t="str">
        <f ca="1">IF($D84&lt;&gt;"Serviço","",IF(AUTOEVENTO="Manual",IF($A84=0,"&lt;-- defina o número do agrupador",OFFSET(EVENTOS!$D$14,$A84,0)),OFFSET($F$15,$A84,0)))</f>
        <v>(digite a descrição aqui)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48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6</v>
      </c>
      <c r="N85" s="212" t="str">
        <f ca="1">IF($D85&lt;&gt;"Serviço","",IF(AUTOEVENTO="Manual",IF($A85=0,"&lt;-- defina o número do agrupador",OFFSET(EVENTOS!$D$14,$A85,0)),OFFSET($F$15,$A85,0)))</f>
        <v>(digite a descrição aqui)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48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6</v>
      </c>
      <c r="N86" s="212" t="str">
        <f ca="1">IF($D86&lt;&gt;"Serviço","",IF(AUTOEVENTO="Manual",IF($A86=0,"&lt;-- defina o número do agrupador",OFFSET(EVENTOS!$D$14,$A86,0)),OFFSET($F$15,$A86,0)))</f>
        <v>(digite a descrição aqui)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48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6</v>
      </c>
      <c r="N87" s="212" t="str">
        <f ca="1">IF($D87&lt;&gt;"Serviço","",IF(AUTOEVENTO="Manual",IF($A87=0,"&lt;-- defina o número do agrupador",OFFSET(EVENTOS!$D$14,$A87,0)),OFFSET($F$15,$A87,0)))</f>
        <v>(digite a descrição aqui)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48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6</v>
      </c>
      <c r="N88" s="212" t="str">
        <f ca="1">IF($D88&lt;&gt;"Serviço","",IF(AUTOEVENTO="Manual",IF($A88=0,"&lt;-- defina o número do agrupador",OFFSET(EVENTOS!$D$14,$A88,0)),OFFSET($F$15,$A88,0)))</f>
        <v>(digite a descrição aqui)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48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6</v>
      </c>
      <c r="N89" s="212" t="str">
        <f ca="1">IF($D89&lt;&gt;"Serviço","",IF(AUTOEVENTO="Manual",IF($A89=0,"&lt;-- defina o número do agrupador",OFFSET(EVENTOS!$D$14,$A89,0)),OFFSET($F$15,$A89,0)))</f>
        <v>(digite a descrição aqui)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48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6</v>
      </c>
      <c r="N90" s="212" t="str">
        <f ca="1">IF($D90&lt;&gt;"Serviço","",IF(AUTOEVENTO="Manual",IF($A90=0,"&lt;-- defina o número do agrupador",OFFSET(EVENTOS!$D$14,$A90,0)),OFFSET($F$15,$A90,0)))</f>
        <v>(digite a descrição aqui)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48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6</v>
      </c>
      <c r="N91" s="212" t="str">
        <f ca="1">IF($D91&lt;&gt;"Serviço","",IF(AUTOEVENTO="Manual",IF($A91=0,"&lt;-- defina o número do agrupador",OFFSET(EVENTOS!$D$14,$A91,0)),OFFSET($F$15,$A91,0)))</f>
        <v>(digite a descrição aqui)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48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6</v>
      </c>
      <c r="N92" s="212" t="str">
        <f ca="1">IF($D92&lt;&gt;"Serviço","",IF(AUTOEVENTO="Manual",IF($A92=0,"&lt;-- defina o número do agrupador",OFFSET(EVENTOS!$D$14,$A92,0)),OFFSET($F$15,$A92,0)))</f>
        <v>(digite a descrição aqui)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48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6</v>
      </c>
      <c r="N93" s="212" t="str">
        <f ca="1">IF($D93&lt;&gt;"Serviço","",IF(AUTOEVENTO="Manual",IF($A93=0,"&lt;-- defina o número do agrupador",OFFSET(EVENTOS!$D$14,$A93,0)),OFFSET($F$15,$A93,0)))</f>
        <v>(digite a descrição aqui)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48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6</v>
      </c>
      <c r="N94" s="212" t="str">
        <f ca="1">IF($D94&lt;&gt;"Serviço","",IF(AUTOEVENTO="Manual",IF($A94=0,"&lt;-- defina o número do agrupador",OFFSET(EVENTOS!$D$14,$A94,0)),OFFSET($F$15,$A94,0)))</f>
        <v>(digite a descrição aqui)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48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6</v>
      </c>
      <c r="N95" s="212" t="str">
        <f ca="1">IF($D95&lt;&gt;"Serviço","",IF(AUTOEVENTO="Manual",IF($A95=0,"&lt;-- defina o número do agrupador",OFFSET(EVENTOS!$D$14,$A95,0)),OFFSET($F$15,$A95,0)))</f>
        <v>(digite a descrição aqui)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48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6</v>
      </c>
      <c r="N96" s="212" t="str">
        <f ca="1">IF($D96&lt;&gt;"Serviço","",IF(AUTOEVENTO="Manual",IF($A96=0,"&lt;-- defina o número do agrupador",OFFSET(EVENTOS!$D$14,$A96,0)),OFFSET($F$15,$A96,0)))</f>
        <v>(digite a descrição aqui)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48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2" t="str">
        <f ca="1">IF($D97&lt;&gt;"Serviço","",IF(AUTOEVENTO="Manual",IF($A97=0,"&lt;-- defina o número do agrupador",OFFSET(EVENTOS!$D$14,$A97,0)),OFFSET($F$15,$A97,0)))</f>
        <v>(digite a descrição aqui)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48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2" t="str">
        <f ca="1">IF($D98&lt;&gt;"Serviço","",IF(AUTOEVENTO="Manual",IF($A98=0,"&lt;-- defina o número do agrupador",OFFSET(EVENTOS!$D$14,$A98,0)),OFFSET($F$15,$A98,0)))</f>
        <v>(digite a descrição aqui)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48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2" t="str">
        <f ca="1">IF($D99&lt;&gt;"Serviço","",IF(AUTOEVENTO="Manual",IF($A99=0,"&lt;-- defina o número do agrupador",OFFSET(EVENTOS!$D$14,$A99,0)),OFFSET($F$15,$A99,0)))</f>
        <v>(digite a descrição aqui)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48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2" t="str">
        <f ca="1">IF($D100&lt;&gt;"Serviço","",IF(AUTOEVENTO="Manual",IF($A100=0,"&lt;-- defina o número do agrupador",OFFSET(EVENTOS!$D$14,$A100,0)),OFFSET($F$15,$A100,0)))</f>
        <v>(digite a descrição aqui)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48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2" t="str">
        <f ca="1">IF($D101&lt;&gt;"Serviço","",IF(AUTOEVENTO="Manual",IF($A101=0,"&lt;-- defina o número do agrupador",OFFSET(EVENTOS!$D$14,$A101,0)),OFFSET($F$15,$A101,0)))</f>
        <v>(digite a descrição aqui)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48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2" t="str">
        <f ca="1">IF($D102&lt;&gt;"Serviço","",IF(AUTOEVENTO="Manual",IF($A102=0,"&lt;-- defina o número do agrupador",OFFSET(EVENTOS!$D$14,$A102,0)),OFFSET($F$15,$A102,0)))</f>
        <v>(digite a descrição aqui)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48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2" t="str">
        <f ca="1">IF($D103&lt;&gt;"Serviço","",IF(AUTOEVENTO="Manual",IF($A103=0,"&lt;-- defina o número do agrupador",OFFSET(EVENTOS!$D$14,$A103,0)),OFFSET($F$15,$A103,0)))</f>
        <v>(digite a descrição aqui)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48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2" t="str">
        <f ca="1">IF($D104&lt;&gt;"Serviço","",IF(AUTOEVENTO="Manual",IF($A104=0,"&lt;-- defina o número do agrupador",OFFSET(EVENTOS!$D$14,$A104,0)),OFFSET($F$15,$A104,0)))</f>
        <v>(digite a descrição aqui)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48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2" t="str">
        <f ca="1">IF($D105&lt;&gt;"Serviço","",IF(AUTOEVENTO="Manual",IF($A105=0,"&lt;-- defina o número do agrupador",OFFSET(EVENTOS!$D$14,$A105,0)),OFFSET($F$15,$A105,0)))</f>
        <v>(digite a descrição aqui)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48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2" t="str">
        <f ca="1">IF($D106&lt;&gt;"Serviço","",IF(AUTOEVENTO="Manual",IF($A106=0,"&lt;-- defina o número do agrupador",OFFSET(EVENTOS!$D$14,$A106,0)),OFFSET($F$15,$A106,0)))</f>
        <v>(digite a descrição aqui)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48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2" t="str">
        <f ca="1">IF($D107&lt;&gt;"Serviço","",IF(AUTOEVENTO="Manual",IF($A107=0,"&lt;-- defina o número do agrupador",OFFSET(EVENTOS!$D$14,$A107,0)),OFFSET($F$15,$A107,0)))</f>
        <v>(digite a descrição aqui)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48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2" t="str">
        <f ca="1">IF($D108&lt;&gt;"Serviço","",IF(AUTOEVENTO="Manual",IF($A108=0,"&lt;-- defina o número do agrupador",OFFSET(EVENTOS!$D$14,$A108,0)),OFFSET($F$15,$A108,0)))</f>
        <v>(digite a descrição aqui)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48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2" t="str">
        <f ca="1">IF($D109&lt;&gt;"Serviço","",IF(AUTOEVENTO="Manual",IF($A109=0,"&lt;-- defina o número do agrupador",OFFSET(EVENTOS!$D$14,$A109,0)),OFFSET($F$15,$A109,0)))</f>
        <v>(digite a descrição aqui)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48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2" t="str">
        <f ca="1">IF($D110&lt;&gt;"Serviço","",IF(AUTOEVENTO="Manual",IF($A110=0,"&lt;-- defina o número do agrupador",OFFSET(EVENTOS!$D$14,$A110,0)),OFFSET($F$15,$A110,0)))</f>
        <v>(digite a descrição aqui)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48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2" t="str">
        <f ca="1">IF($D111&lt;&gt;"Serviço","",IF(AUTOEVENTO="Manual",IF($A111=0,"&lt;-- defina o número do agrupador",OFFSET(EVENTOS!$D$14,$A111,0)),OFFSET($F$15,$A111,0)))</f>
        <v>(digite a descrição aqui)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48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2" t="str">
        <f ca="1">IF($D112&lt;&gt;"Serviço","",IF(AUTOEVENTO="Manual",IF($A112=0,"&lt;-- defina o número do agrupador",OFFSET(EVENTOS!$D$14,$A112,0)),OFFSET($F$15,$A112,0)))</f>
        <v>(digite a descrição aqui)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48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2" t="str">
        <f ca="1">IF($D113&lt;&gt;"Serviço","",IF(AUTOEVENTO="Manual",IF($A113=0,"&lt;-- defina o número do agrupador",OFFSET(EVENTOS!$D$14,$A113,0)),OFFSET($F$15,$A113,0)))</f>
        <v>(digite a descrição aqui)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48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2" t="str">
        <f ca="1">IF($D114&lt;&gt;"Serviço","",IF(AUTOEVENTO="Manual",IF($A114=0,"&lt;-- defina o número do agrupador",OFFSET(EVENTOS!$D$14,$A114,0)),OFFSET($F$15,$A114,0)))</f>
        <v>(digite a descrição aqui)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48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2" t="str">
        <f ca="1">IF($D115&lt;&gt;"Serviço","",IF(AUTOEVENTO="Manual",IF($A115=0,"&lt;-- defina o número do agrupador",OFFSET(EVENTOS!$D$14,$A115,0)),OFFSET($F$15,$A115,0)))</f>
        <v>(digite a descrição aqui)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48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2" t="str">
        <f ca="1">IF($D116&lt;&gt;"Serviço","",IF(AUTOEVENTO="Manual",IF($A116=0,"&lt;-- defina o número do agrupador",OFFSET(EVENTOS!$D$14,$A116,0)),OFFSET($F$15,$A116,0)))</f>
        <v>(digite a descrição aqui)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48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2" t="str">
        <f ca="1">IF($D117&lt;&gt;"Serviço","",IF(AUTOEVENTO="Manual",IF($A117=0,"&lt;-- defina o número do agrupador",OFFSET(EVENTOS!$D$14,$A117,0)),OFFSET($F$15,$A117,0)))</f>
        <v>(digite a descrição aqui)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48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2" t="str">
        <f ca="1">IF($D118&lt;&gt;"Serviço","",IF(AUTOEVENTO="Manual",IF($A118=0,"&lt;-- defina o número do agrupador",OFFSET(EVENTOS!$D$14,$A118,0)),OFFSET($F$15,$A118,0)))</f>
        <v>(digite a descrição aqui)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48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2" t="str">
        <f ca="1">IF($D119&lt;&gt;"Serviço","",IF(AUTOEVENTO="Manual",IF($A119=0,"&lt;-- defina o número do agrupador",OFFSET(EVENTOS!$D$14,$A119,0)),OFFSET($F$15,$A119,0)))</f>
        <v>(digite a descrição aqui)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48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2" t="str">
        <f ca="1">IF($D120&lt;&gt;"Serviço","",IF(AUTOEVENTO="Manual",IF($A120=0,"&lt;-- defina o número do agrupador",OFFSET(EVENTOS!$D$14,$A120,0)),OFFSET($F$15,$A120,0)))</f>
        <v>(digite a descrição aqui)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48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2" t="str">
        <f ca="1">IF($D121&lt;&gt;"Serviço","",IF(AUTOEVENTO="Manual",IF($A121=0,"&lt;-- defina o número do agrupador",OFFSET(EVENTOS!$D$14,$A121,0)),OFFSET($F$15,$A121,0)))</f>
        <v>(digite a descrição aqui)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48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2" t="str">
        <f ca="1">IF($D122&lt;&gt;"Serviço","",IF(AUTOEVENTO="Manual",IF($A122=0,"&lt;-- defina o número do agrupador",OFFSET(EVENTOS!$D$14,$A122,0)),OFFSET($F$15,$A122,0)))</f>
        <v>(digite a descrição aqui)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48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2" t="str">
        <f ca="1">IF($D123&lt;&gt;"Serviço","",IF(AUTOEVENTO="Manual",IF($A123=0,"&lt;-- defina o número do agrupador",OFFSET(EVENTOS!$D$14,$A123,0)),OFFSET($F$15,$A123,0)))</f>
        <v>(digite a descrição aqui)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48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2" t="str">
        <f ca="1">IF($D124&lt;&gt;"Serviço","",IF(AUTOEVENTO="Manual",IF($A124=0,"&lt;-- defina o número do agrupador",OFFSET(EVENTOS!$D$14,$A124,0)),OFFSET($F$15,$A124,0)))</f>
        <v>(digite a descrição aqui)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48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2" t="str">
        <f ca="1">IF($D125&lt;&gt;"Serviço","",IF(AUTOEVENTO="Manual",IF($A125=0,"&lt;-- defina o número do agrupador",OFFSET(EVENTOS!$D$14,$A125,0)),OFFSET($F$15,$A125,0)))</f>
        <v>(digite a descrição aqui)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48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2" t="str">
        <f ca="1">IF($D126&lt;&gt;"Serviço","",IF(AUTOEVENTO="Manual",IF($A126=0,"&lt;-- defina o número do agrupador",OFFSET(EVENTOS!$D$14,$A126,0)),OFFSET($F$15,$A126,0)))</f>
        <v>(digite a descrição aqui)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48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(digite a descrição aqui)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48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(digite a descrição aqui)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48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(digite a descrição aqui)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48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(digite a descrição aqui)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48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(digite a descrição aqui)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48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(digite a descrição aqui)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48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(digite a descrição aqui)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48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(digite a descrição aqui)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48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(digite a descrição aqui)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48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(digite a descrição aqui)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48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(digite a descrição aqui)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48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(digite a descrição aqui)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48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(digite a descrição aqui)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48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(digite a descrição aqui)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48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2" t="str">
        <f ca="1">IF($D141&lt;&gt;"Serviço","",IF(AUTOEVENTO="Manual",IF($A141=0,"&lt;-- defina o número do agrupador",OFFSET(EVENTOS!$D$14,$A141,0)),OFFSET($F$15,$A141,0)))</f>
        <v>(digite a descrição aqui)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48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2" t="str">
        <f ca="1">IF($D142&lt;&gt;"Serviço","",IF(AUTOEVENTO="Manual",IF($A142=0,"&lt;-- defina o número do agrupador",OFFSET(EVENTOS!$D$14,$A142,0)),OFFSET($F$15,$A142,0)))</f>
        <v>(digite a descrição aqui)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48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2" t="str">
        <f ca="1">IF($D143&lt;&gt;"Serviço","",IF(AUTOEVENTO="Manual",IF($A143=0,"&lt;-- defina o número do agrupador",OFFSET(EVENTOS!$D$14,$A143,0)),OFFSET($F$15,$A143,0)))</f>
        <v>(digite a descrição aqui)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48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2" t="str">
        <f ca="1">IF($D144&lt;&gt;"Serviço","",IF(AUTOEVENTO="Manual",IF($A144=0,"&lt;-- defina o número do agrupador",OFFSET(EVENTOS!$D$14,$A144,0)),OFFSET($F$15,$A144,0)))</f>
        <v>(digite a descrição aqui)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48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2" t="str">
        <f ca="1">IF($D145&lt;&gt;"Serviço","",IF(AUTOEVENTO="Manual",IF($A145=0,"&lt;-- defina o número do agrupador",OFFSET(EVENTOS!$D$14,$A145,0)),OFFSET($F$15,$A145,0)))</f>
        <v>(digite a descrição aqui)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48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2" t="str">
        <f ca="1">IF($D146&lt;&gt;"Serviço","",IF(AUTOEVENTO="Manual",IF($A146=0,"&lt;-- defina o número do agrupador",OFFSET(EVENTOS!$D$14,$A146,0)),OFFSET($F$15,$A146,0)))</f>
        <v>(digite a descrição aqui)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48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2" t="str">
        <f ca="1">IF($D147&lt;&gt;"Serviço","",IF(AUTOEVENTO="Manual",IF($A147=0,"&lt;-- defina o número do agrupador",OFFSET(EVENTOS!$D$14,$A147,0)),OFFSET($F$15,$A147,0)))</f>
        <v>(digite a descrição aqui)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48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2" t="str">
        <f ca="1">IF($D148&lt;&gt;"Serviço","",IF(AUTOEVENTO="Manual",IF($A148=0,"&lt;-- defina o número do agrupador",OFFSET(EVENTOS!$D$14,$A148,0)),OFFSET($F$15,$A148,0)))</f>
        <v>(digite a descrição aqui)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48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2" t="str">
        <f ca="1">IF($D149&lt;&gt;"Serviço","",IF(AUTOEVENTO="Manual",IF($A149=0,"&lt;-- defina o número do agrupador",OFFSET(EVENTOS!$D$14,$A149,0)),OFFSET($F$15,$A149,0)))</f>
        <v>(digite a descrição aqui)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48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2" t="str">
        <f ca="1">IF($D150&lt;&gt;"Serviço","",IF(AUTOEVENTO="Manual",IF($A150=0,"&lt;-- defina o número do agrupador",OFFSET(EVENTOS!$D$14,$A150,0)),OFFSET($F$15,$A150,0)))</f>
        <v>(digite a descrição aqui)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48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2" t="str">
        <f ca="1">IF($D151&lt;&gt;"Serviço","",IF(AUTOEVENTO="Manual",IF($A151=0,"&lt;-- defina o número do agrupador",OFFSET(EVENTOS!$D$14,$A151,0)),OFFSET($F$15,$A151,0)))</f>
        <v>(digite a descrição aqui)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137.</v>
      </c>
      <c r="B152" s="9">
        <f ca="1">OFFSET(ORÇAMENTO!C$15,ROW(B152)-ROW(B$15),0)</f>
        <v>1</v>
      </c>
      <c r="C152" s="9" t="str">
        <f ca="1">OFFSET(ORÇAMENTO!L$15,ROW(C152)-ROW(C$15),0)</f>
        <v>F</v>
      </c>
      <c r="D152" s="146" t="str">
        <f ca="1">OFFSET(ORÇAMENTO!N$15,ROW(D152)-ROW(D$15),0)</f>
        <v>Meta</v>
      </c>
      <c r="E152" s="206" t="str">
        <f ca="1">OFFSET(ORÇAMENTO!O$15,ROW(E152)-ROW(E$15),0)</f>
        <v>6.</v>
      </c>
      <c r="F152" s="207" t="str">
        <f ca="1">OFFSET(ORÇAMENTO!R$15,ROW(F152)-ROW(F$15),0)</f>
        <v>coberturas</v>
      </c>
      <c r="G152" s="208" t="str">
        <f ca="1">IF($D152&lt;&gt;"Serviço","",OFFSET(ORÇAMENTO!S$15,ROW(G152)-ROW(G$15),0))</f>
        <v/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 t="str">
        <f ca="1">IF($D152&lt;&gt;"Serviço","",IF(AUTOEVENTO="manual",$A152,IF(ISERROR(MATCH($A152,$A$15:OFFSET($A152,-1,0),0)),MAX($M$15:OFFSET(M152,-1,0))+1,INDEX($M$15:OFFSET(M152,-1,0),MATCH($A152,$A$15:OFFSET($A152,-1,0),0)))))</f>
        <v/>
      </c>
      <c r="N152" s="212" t="str">
        <f ca="1">IF($D152&lt;&gt;"Serviço","",IF(AUTOEVENTO="Manual",IF($A152=0,"&lt;-- defina o número do agrupador",OFFSET(EVENTOS!$D$14,$A152,0)),OFFSET($F$15,$A152,0)))</f>
        <v/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0</v>
      </c>
      <c r="AN152" s="216">
        <f ca="1">IF($D152&lt;&gt;"Serviço",0,IF(AND(AUTOEVENTO="Manual",$M152=1),0,IF(OFFSET(CRONOPLE!$F$14,$M152,AN$13)="",10^12,OFFSET(CRONOPLE!$F$14,$M152,AN$13))))</f>
        <v>0</v>
      </c>
      <c r="AO152" s="216">
        <f ca="1">IF($D152&lt;&gt;"Serviço",0,IF(AND(AUTOEVENTO="Manual",$M152=1),0,IF(OFFSET(CRONOPLE!$F$14,$M152,AO$13)="",10^12,OFFSET(CRONOPLE!$F$14,$M152,AO$13))))</f>
        <v>0</v>
      </c>
      <c r="AP152" s="216">
        <f ca="1">IF($D152&lt;&gt;"Serviço",0,IF(AND(AUTOEVENTO="Manual",$M152=1),0,IF(OFFSET(CRONOPLE!$F$14,$M152,AP$13)="",10^12,OFFSET(CRONOPLE!$F$14,$M152,AP$13))))</f>
        <v>0</v>
      </c>
      <c r="AQ152" s="216">
        <f ca="1">IF($D152&lt;&gt;"Serviço",0,IF(AND(AUTOEVENTO="Manual",$M152=1),0,IF(OFFSET(CRONOPLE!$F$14,$M152,AQ$13)="",10^12,OFFSET(CRONOPLE!$F$14,$M152,AQ$13))))</f>
        <v>0</v>
      </c>
      <c r="AR152" s="216">
        <f ca="1">IF($D152&lt;&gt;"Serviço",0,IF(AND(AUTOEVENTO="Manual",$M152=1),0,IF(OFFSET(CRONOPLE!$F$14,$M152,AR$13)="",10^12,OFFSET(CRONOPLE!$F$14,$M152,AR$13))))</f>
        <v>0</v>
      </c>
      <c r="AS152" s="216">
        <f ca="1">IF($D152&lt;&gt;"Serviço",0,IF(AND(AUTOEVENTO="Manual",$M152=1),0,IF(OFFSET(CRONOPLE!$F$14,$M152,AS$13)="",10^12,OFFSET(CRONOPLE!$F$14,$M152,AS$13))))</f>
        <v>0</v>
      </c>
      <c r="AT152" s="216">
        <f ca="1">IF($D152&lt;&gt;"Serviço",0,IF(AND(AUTOEVENTO="Manual",$M152=1),0,IF(OFFSET(CRONOPLE!$F$14,$M152,AT$13)="",10^12,OFFSET(CRONOPLE!$F$14,$M152,AT$13))))</f>
        <v>0</v>
      </c>
      <c r="AU152" s="216">
        <f ca="1">IF($D152&lt;&gt;"Serviço",0,IF(AND(AUTOEVENTO="Manual",$M152=1),0,IF(OFFSET(CRONOPLE!$F$14,$M152,AU$13)="",10^12,OFFSET(CRONOPLE!$F$14,$M152,AU$13))))</f>
        <v>0</v>
      </c>
      <c r="AV152" s="216">
        <f ca="1">IF($D152&lt;&gt;"Serviço",0,IF(AND(AUTOEVENTO="Manual",$M152=1),0,IF(OFFSET(CRONOPLE!$F$14,$M152,AV$13)="",10^12,OFFSET(CRONOPLE!$F$14,$M152,AV$13))))</f>
        <v>0</v>
      </c>
      <c r="AX152" s="217">
        <f ca="1">IF($D152&lt;&gt;"Serviço",0,IF(OR(AND(AUTOEVENTO="Manual",$M152=1),$M152&gt;(ROW(PLE.lastrow)-ROW(PLE.firstrow))),0,IF(OFFSET(PLE!$G$14,$M152,AX$13)="",10^12,OFFSET(PLE!$G$14,$M152,AX$13))))</f>
        <v>0</v>
      </c>
      <c r="AY152" s="217">
        <f ca="1">IF($D152&lt;&gt;"Serviço",0,IF(OR(AND(AUTOEVENTO="Manual",$M152=1),$M152&gt;(ROW(PLE.lastrow)-ROW(PLE.firstrow))),0,IF(OFFSET(PLE!$G$14,$M152,AY$13)="",10^12,OFFSET(PLE!$G$14,$M152,AY$13))))</f>
        <v>0</v>
      </c>
      <c r="AZ152" s="217">
        <f ca="1">IF($D152&lt;&gt;"Serviço",0,IF(OR(AND(AUTOEVENTO="Manual",$M152=1),$M152&gt;(ROW(PLE.lastrow)-ROW(PLE.firstrow))),0,IF(OFFSET(PLE!$G$14,$M152,AZ$13)="",10^12,OFFSET(PLE!$G$14,$M152,AZ$13))))</f>
        <v>0</v>
      </c>
      <c r="BA152" s="217">
        <f ca="1">IF($D152&lt;&gt;"Serviço",0,IF(OR(AND(AUTOEVENTO="Manual",$M152=1),$M152&gt;(ROW(PLE.lastrow)-ROW(PLE.firstrow))),0,IF(OFFSET(PLE!$G$14,$M152,BA$13)="",10^12,OFFSET(PLE!$G$14,$M152,BA$13))))</f>
        <v>0</v>
      </c>
      <c r="BB152" s="217">
        <f ca="1">IF($D152&lt;&gt;"Serviço",0,IF(OR(AND(AUTOEVENTO="Manual",$M152=1),$M152&gt;(ROW(PLE.lastrow)-ROW(PLE.firstrow))),0,IF(OFFSET(PLE!$G$14,$M152,BB$13)="",10^12,OFFSET(PLE!$G$14,$M152,BB$13))))</f>
        <v>0</v>
      </c>
      <c r="BC152" s="217">
        <f ca="1">IF($D152&lt;&gt;"Serviço",0,IF(OR(AND(AUTOEVENTO="Manual",$M152=1),$M152&gt;(ROW(PLE.lastrow)-ROW(PLE.firstrow))),0,IF(OFFSET(PLE!$G$14,$M152,BC$13)="",10^12,OFFSET(PLE!$G$14,$M152,BC$13))))</f>
        <v>0</v>
      </c>
      <c r="BD152" s="217">
        <f ca="1">IF($D152&lt;&gt;"Serviço",0,IF(OR(AND(AUTOEVENTO="Manual",$M152=1),$M152&gt;(ROW(PLE.lastrow)-ROW(PLE.firstrow))),0,IF(OFFSET(PLE!$G$14,$M152,BD$13)="",10^12,OFFSET(PLE!$G$14,$M152,BD$13))))</f>
        <v>0</v>
      </c>
      <c r="BE152" s="217">
        <f ca="1">IF($D152&lt;&gt;"Serviço",0,IF(OR(AND(AUTOEVENTO="Manual",$M152=1),$M152&gt;(ROW(PLE.lastrow)-ROW(PLE.firstrow))),0,IF(OFFSET(PLE!$G$14,$M152,BE$13)="",10^12,OFFSET(PLE!$G$14,$M152,BE$13))))</f>
        <v>0</v>
      </c>
      <c r="BF152" s="217">
        <f ca="1">IF($D152&lt;&gt;"Serviço",0,IF(OR(AND(AUTOEVENTO="Manual",$M152=1),$M152&gt;(ROW(PLE.lastrow)-ROW(PLE.firstrow))),0,IF(OFFSET(PLE!$G$14,$M152,BF$13)="",10^12,OFFSET(PLE!$G$14,$M152,BF$13))))</f>
        <v>0</v>
      </c>
      <c r="BG152" s="217">
        <f ca="1">IF($D152&lt;&gt;"Serviço",0,IF(OR(AND(AUTOEVENTO="Manual",$M152=1),$M152&gt;(ROW(PLE.lastrow)-ROW(PLE.firstrow))),0,IF(OFFSET(PLE!$G$14,$M152,BG$13)="",10^12,OFFSET(PLE!$G$14,$M152,BG$13))))</f>
        <v>0</v>
      </c>
    </row>
    <row r="153" spans="1:59" ht="12.75" x14ac:dyDescent="0.2">
      <c r="A153" s="9" t="str">
        <f t="shared" ca="1" si="10"/>
        <v>138.</v>
      </c>
      <c r="B153" s="9">
        <f ca="1">OFFSET(ORÇAMENTO!C$15,ROW(B153)-ROW(B$15),0)</f>
        <v>2</v>
      </c>
      <c r="C153" s="9" t="str">
        <f ca="1">OFFSET(ORÇAMENTO!L$15,ROW(C153)-ROW(C$15),0)</f>
        <v>F</v>
      </c>
      <c r="D153" s="146" t="str">
        <f ca="1">OFFSET(ORÇAMENTO!N$15,ROW(D153)-ROW(D$15),0)</f>
        <v>Nível 2</v>
      </c>
      <c r="E153" s="206" t="str">
        <f ca="1">OFFSET(ORÇAMENTO!O$15,ROW(E153)-ROW(E$15),0)</f>
        <v>6.1.</v>
      </c>
      <c r="F153" s="207" t="str">
        <f ca="1">OFFSET(ORÇAMENTO!R$15,ROW(F153)-ROW(F$15),0)</f>
        <v>(digite a descrição aqui)</v>
      </c>
      <c r="G153" s="208" t="str">
        <f ca="1">IF($D153&lt;&gt;"Serviço","",OFFSET(ORÇAMENTO!S$15,ROW(G153)-ROW(G$15),0))</f>
        <v/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 t="str">
        <f ca="1">IF($D153&lt;&gt;"Serviço","",IF(AUTOEVENTO="manual",$A153,IF(ISERROR(MATCH($A153,$A$15:OFFSET($A153,-1,0),0)),MAX($M$15:OFFSET(M153,-1,0))+1,INDEX($M$15:OFFSET(M153,-1,0),MATCH($A153,$A$15:OFFSET($A153,-1,0),0)))))</f>
        <v/>
      </c>
      <c r="N153" s="212" t="str">
        <f ca="1">IF($D153&lt;&gt;"Serviço","",IF(AUTOEVENTO="Manual",IF($A153=0,"&lt;-- defina o número do agrupador",OFFSET(EVENTOS!$D$14,$A153,0)),OFFSET($F$15,$A153,0)))</f>
        <v/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0</v>
      </c>
      <c r="AN153" s="216">
        <f ca="1">IF($D153&lt;&gt;"Serviço",0,IF(AND(AUTOEVENTO="Manual",$M153=1),0,IF(OFFSET(CRONOPLE!$F$14,$M153,AN$13)="",10^12,OFFSET(CRONOPLE!$F$14,$M153,AN$13))))</f>
        <v>0</v>
      </c>
      <c r="AO153" s="216">
        <f ca="1">IF($D153&lt;&gt;"Serviço",0,IF(AND(AUTOEVENTO="Manual",$M153=1),0,IF(OFFSET(CRONOPLE!$F$14,$M153,AO$13)="",10^12,OFFSET(CRONOPLE!$F$14,$M153,AO$13))))</f>
        <v>0</v>
      </c>
      <c r="AP153" s="216">
        <f ca="1">IF($D153&lt;&gt;"Serviço",0,IF(AND(AUTOEVENTO="Manual",$M153=1),0,IF(OFFSET(CRONOPLE!$F$14,$M153,AP$13)="",10^12,OFFSET(CRONOPLE!$F$14,$M153,AP$13))))</f>
        <v>0</v>
      </c>
      <c r="AQ153" s="216">
        <f ca="1">IF($D153&lt;&gt;"Serviço",0,IF(AND(AUTOEVENTO="Manual",$M153=1),0,IF(OFFSET(CRONOPLE!$F$14,$M153,AQ$13)="",10^12,OFFSET(CRONOPLE!$F$14,$M153,AQ$13))))</f>
        <v>0</v>
      </c>
      <c r="AR153" s="216">
        <f ca="1">IF($D153&lt;&gt;"Serviço",0,IF(AND(AUTOEVENTO="Manual",$M153=1),0,IF(OFFSET(CRONOPLE!$F$14,$M153,AR$13)="",10^12,OFFSET(CRONOPLE!$F$14,$M153,AR$13))))</f>
        <v>0</v>
      </c>
      <c r="AS153" s="216">
        <f ca="1">IF($D153&lt;&gt;"Serviço",0,IF(AND(AUTOEVENTO="Manual",$M153=1),0,IF(OFFSET(CRONOPLE!$F$14,$M153,AS$13)="",10^12,OFFSET(CRONOPLE!$F$14,$M153,AS$13))))</f>
        <v>0</v>
      </c>
      <c r="AT153" s="216">
        <f ca="1">IF($D153&lt;&gt;"Serviço",0,IF(AND(AUTOEVENTO="Manual",$M153=1),0,IF(OFFSET(CRONOPLE!$F$14,$M153,AT$13)="",10^12,OFFSET(CRONOPLE!$F$14,$M153,AT$13))))</f>
        <v>0</v>
      </c>
      <c r="AU153" s="216">
        <f ca="1">IF($D153&lt;&gt;"Serviço",0,IF(AND(AUTOEVENTO="Manual",$M153=1),0,IF(OFFSET(CRONOPLE!$F$14,$M153,AU$13)="",10^12,OFFSET(CRONOPLE!$F$14,$M153,AU$13))))</f>
        <v>0</v>
      </c>
      <c r="AV153" s="216">
        <f ca="1">IF($D153&lt;&gt;"Serviço",0,IF(AND(AUTOEVENTO="Manual",$M153=1),0,IF(OFFSET(CRONOPLE!$F$14,$M153,AV$13)="",10^12,OFFSET(CRONOPLE!$F$14,$M153,AV$13))))</f>
        <v>0</v>
      </c>
      <c r="AX153" s="217">
        <f ca="1">IF($D153&lt;&gt;"Serviço",0,IF(OR(AND(AUTOEVENTO="Manual",$M153=1),$M153&gt;(ROW(PLE.lastrow)-ROW(PLE.firstrow))),0,IF(OFFSET(PLE!$G$14,$M153,AX$13)="",10^12,OFFSET(PLE!$G$14,$M153,AX$13))))</f>
        <v>0</v>
      </c>
      <c r="AY153" s="217">
        <f ca="1">IF($D153&lt;&gt;"Serviço",0,IF(OR(AND(AUTOEVENTO="Manual",$M153=1),$M153&gt;(ROW(PLE.lastrow)-ROW(PLE.firstrow))),0,IF(OFFSET(PLE!$G$14,$M153,AY$13)="",10^12,OFFSET(PLE!$G$14,$M153,AY$13))))</f>
        <v>0</v>
      </c>
      <c r="AZ153" s="217">
        <f ca="1">IF($D153&lt;&gt;"Serviço",0,IF(OR(AND(AUTOEVENTO="Manual",$M153=1),$M153&gt;(ROW(PLE.lastrow)-ROW(PLE.firstrow))),0,IF(OFFSET(PLE!$G$14,$M153,AZ$13)="",10^12,OFFSET(PLE!$G$14,$M153,AZ$13))))</f>
        <v>0</v>
      </c>
      <c r="BA153" s="217">
        <f ca="1">IF($D153&lt;&gt;"Serviço",0,IF(OR(AND(AUTOEVENTO="Manual",$M153=1),$M153&gt;(ROW(PLE.lastrow)-ROW(PLE.firstrow))),0,IF(OFFSET(PLE!$G$14,$M153,BA$13)="",10^12,OFFSET(PLE!$G$14,$M153,BA$13))))</f>
        <v>0</v>
      </c>
      <c r="BB153" s="217">
        <f ca="1">IF($D153&lt;&gt;"Serviço",0,IF(OR(AND(AUTOEVENTO="Manual",$M153=1),$M153&gt;(ROW(PLE.lastrow)-ROW(PLE.firstrow))),0,IF(OFFSET(PLE!$G$14,$M153,BB$13)="",10^12,OFFSET(PLE!$G$14,$M153,BB$13))))</f>
        <v>0</v>
      </c>
      <c r="BC153" s="217">
        <f ca="1">IF($D153&lt;&gt;"Serviço",0,IF(OR(AND(AUTOEVENTO="Manual",$M153=1),$M153&gt;(ROW(PLE.lastrow)-ROW(PLE.firstrow))),0,IF(OFFSET(PLE!$G$14,$M153,BC$13)="",10^12,OFFSET(PLE!$G$14,$M153,BC$13))))</f>
        <v>0</v>
      </c>
      <c r="BD153" s="217">
        <f ca="1">IF($D153&lt;&gt;"Serviço",0,IF(OR(AND(AUTOEVENTO="Manual",$M153=1),$M153&gt;(ROW(PLE.lastrow)-ROW(PLE.firstrow))),0,IF(OFFSET(PLE!$G$14,$M153,BD$13)="",10^12,OFFSET(PLE!$G$14,$M153,BD$13))))</f>
        <v>0</v>
      </c>
      <c r="BE153" s="217">
        <f ca="1">IF($D153&lt;&gt;"Serviço",0,IF(OR(AND(AUTOEVENTO="Manual",$M153=1),$M153&gt;(ROW(PLE.lastrow)-ROW(PLE.firstrow))),0,IF(OFFSET(PLE!$G$14,$M153,BE$13)="",10^12,OFFSET(PLE!$G$14,$M153,BE$13))))</f>
        <v>0</v>
      </c>
      <c r="BF153" s="217">
        <f ca="1">IF($D153&lt;&gt;"Serviço",0,IF(OR(AND(AUTOEVENTO="Manual",$M153=1),$M153&gt;(ROW(PLE.lastrow)-ROW(PLE.firstrow))),0,IF(OFFSET(PLE!$G$14,$M153,BF$13)="",10^12,OFFSET(PLE!$G$14,$M153,BF$13))))</f>
        <v>0</v>
      </c>
      <c r="BG153" s="217">
        <f ca="1">IF($D153&lt;&gt;"Serviço",0,IF(OR(AND(AUTOEVENTO="Manual",$M153=1),$M153&gt;(ROW(PLE.lastrow)-ROW(PLE.firstrow))),0,IF(OFFSET(PLE!$G$14,$M153,BG$13)="",10^12,OFFSET(PLE!$G$14,$M153,BG$13))))</f>
        <v>0</v>
      </c>
    </row>
    <row r="154" spans="1:59" ht="38.25" x14ac:dyDescent="0.2">
      <c r="A154" s="9" t="str">
        <f t="shared" ca="1" si="10"/>
        <v>138</v>
      </c>
      <c r="B154" s="9" t="str">
        <f ca="1">OFFSET(ORÇAMENTO!C$15,ROW(B154)-ROW(B$15),0)</f>
        <v>S</v>
      </c>
      <c r="C154" s="9" t="str">
        <f ca="1">OFFSET(ORÇAMENTO!L$15,ROW(C154)-ROW(C$15),0)</f>
        <v>F</v>
      </c>
      <c r="D154" s="146" t="str">
        <f ca="1">OFFSET(ORÇAMENTO!N$15,ROW(D154)-ROW(D$15),0)</f>
        <v>Serviço</v>
      </c>
      <c r="E154" s="206" t="str">
        <f ca="1">OFFSET(ORÇAMENTO!O$15,ROW(E154)-ROW(E$15),0)</f>
        <v>6.1.1.</v>
      </c>
      <c r="F154" s="207" t="str">
        <f ca="1">OFFSET(ORÇAMENTO!R$15,ROW(F154)-ROW(F$15),0)</f>
        <v>FABRICAÇÃO E INSTALAÇÃO DE TESOURA INTEIRA EM AÇO, VÃO DE 3 M, PARA TELHA CERÂMICA OU DE CONCRETO, INCLUSO IÇAMENTO. AF_12/2015</v>
      </c>
      <c r="G154" s="208" t="str">
        <f ca="1">IF($D154&lt;&gt;"Serviço","",OFFSET(ORÇAMENTO!S$15,ROW(G154)-ROW(G$15),0))</f>
        <v>UN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5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7</v>
      </c>
      <c r="N154" s="212" t="str">
        <f ca="1">IF($D154&lt;&gt;"Serviço","",IF(AUTOEVENTO="Manual",IF($A154=0,"&lt;-- defina o número do agrupador",OFFSET(EVENTOS!$D$14,$A154,0)),OFFSET($F$15,$A154,0)))</f>
        <v>(digite a descrição aqui)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51" x14ac:dyDescent="0.2">
      <c r="A155" s="9" t="str">
        <f t="shared" ca="1" si="10"/>
        <v>138</v>
      </c>
      <c r="B155" s="9" t="str">
        <f ca="1">OFFSET(ORÇAMENTO!C$15,ROW(B155)-ROW(B$15),0)</f>
        <v>S</v>
      </c>
      <c r="C155" s="9" t="str">
        <f ca="1">OFFSET(ORÇAMENTO!L$15,ROW(C155)-ROW(C$15),0)</f>
        <v>F</v>
      </c>
      <c r="D155" s="146" t="str">
        <f ca="1">OFFSET(ORÇAMENTO!N$15,ROW(D155)-ROW(D$15),0)</f>
        <v>Serviço</v>
      </c>
      <c r="E155" s="206" t="str">
        <f ca="1">OFFSET(ORÇAMENTO!O$15,ROW(E155)-ROW(E$15),0)</f>
        <v>6.1.2.</v>
      </c>
      <c r="F155" s="207" t="str">
        <f ca="1">OFFSET(ORÇAMENTO!R$15,ROW(F155)-ROW(F$15),0)</f>
        <v>TELHAMENTO COM TELHA ONDULADA DE FIBROCIMENTO E = 6 MM, COM RECOBRIMENTO LATERAL DE 1 1/4 DE ONDA PARA TELHADO COM INCLINAÇÃO MÁXIMA DE 10°, COM ATÉ 2 ÁGUAS, INCLUSO IÇAMENTO. AF_06/2016</v>
      </c>
      <c r="G155" s="208" t="str">
        <f ca="1">IF($D155&lt;&gt;"Serviço","",OFFSET(ORÇAMENTO!S$15,ROW(G155)-ROW(G$15),0))</f>
        <v>M2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52.2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7</v>
      </c>
      <c r="N155" s="212" t="str">
        <f ca="1">IF($D155&lt;&gt;"Serviço","",IF(AUTOEVENTO="Manual",IF($A155=0,"&lt;-- defina o número do agrupador",OFFSET(EVENTOS!$D$14,$A155,0)),OFFSET($F$15,$A155,0)))</f>
        <v>(digite a descrição aqui)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25.5" x14ac:dyDescent="0.2">
      <c r="A156" s="9" t="str">
        <f t="shared" ca="1" si="10"/>
        <v>138</v>
      </c>
      <c r="B156" s="9" t="str">
        <f ca="1">OFFSET(ORÇAMENTO!C$15,ROW(B156)-ROW(B$15),0)</f>
        <v>S</v>
      </c>
      <c r="C156" s="9" t="str">
        <f ca="1">OFFSET(ORÇAMENTO!L$15,ROW(C156)-ROW(C$15),0)</f>
        <v>F</v>
      </c>
      <c r="D156" s="146" t="str">
        <f ca="1">OFFSET(ORÇAMENTO!N$15,ROW(D156)-ROW(D$15),0)</f>
        <v>Serviço</v>
      </c>
      <c r="E156" s="206" t="str">
        <f ca="1">OFFSET(ORÇAMENTO!O$15,ROW(E156)-ROW(E$15),0)</f>
        <v>6.1.3.</v>
      </c>
      <c r="F156" s="207" t="str">
        <f ca="1">OFFSET(ORÇAMENTO!R$15,ROW(F156)-ROW(F$15),0)</f>
        <v>FORRO DE PVC LISO, BRANCO, REGUA DE 10 CM, ESPESSURA DE 8 MM A 10 MM (COM COLOCACAO / SEM ESTRUTURA METALICA)</v>
      </c>
      <c r="G156" s="208" t="str">
        <f ca="1">IF($D156&lt;&gt;"Serviço","",OFFSET(ORÇAMENTO!S$15,ROW(G156)-ROW(G$15),0))</f>
        <v xml:space="preserve">M2    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52.2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7</v>
      </c>
      <c r="N156" s="212" t="str">
        <f ca="1">IF($D156&lt;&gt;"Serviço","",IF(AUTOEVENTO="Manual",IF($A156=0,"&lt;-- defina o número do agrupador",OFFSET(EVENTOS!$D$14,$A156,0)),OFFSET($F$15,$A156,0)))</f>
        <v>(digite a descrição aqui)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25.5" x14ac:dyDescent="0.2">
      <c r="A157" s="9" t="str">
        <f t="shared" ca="1" si="10"/>
        <v>138</v>
      </c>
      <c r="B157" s="9" t="str">
        <f ca="1">OFFSET(ORÇAMENTO!C$15,ROW(B157)-ROW(B$15),0)</f>
        <v>S</v>
      </c>
      <c r="C157" s="9" t="str">
        <f ca="1">OFFSET(ORÇAMENTO!L$15,ROW(C157)-ROW(C$15),0)</f>
        <v>F</v>
      </c>
      <c r="D157" s="146" t="str">
        <f ca="1">OFFSET(ORÇAMENTO!N$15,ROW(D157)-ROW(D$15),0)</f>
        <v>Serviço</v>
      </c>
      <c r="E157" s="206" t="str">
        <f ca="1">OFFSET(ORÇAMENTO!O$15,ROW(E157)-ROW(E$15),0)</f>
        <v>6.1.4.</v>
      </c>
      <c r="F157" s="207" t="str">
        <f ca="1">OFFSET(ORÇAMENTO!R$15,ROW(F157)-ROW(F$15),0)</f>
        <v>COBERTURA EM ESTRUTURA METALICA E COBRIMENTO EM POLICARBONATO, COM VENEZIANAS NAS LATERAIS</v>
      </c>
      <c r="G157" s="208" t="str">
        <f ca="1">IF($D157&lt;&gt;"Serviço","",OFFSET(ORÇAMENTO!S$15,ROW(G157)-ROW(G$15),0))</f>
        <v>M2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22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7</v>
      </c>
      <c r="N157" s="212" t="str">
        <f ca="1">IF($D157&lt;&gt;"Serviço","",IF(AUTOEVENTO="Manual",IF($A157=0,"&lt;-- defina o número do agrupador",OFFSET(EVENTOS!$D$14,$A157,0)),OFFSET($F$15,$A157,0)))</f>
        <v>(digite a descrição aqui)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25.5" x14ac:dyDescent="0.2">
      <c r="A158" s="9" t="str">
        <f t="shared" ca="1" si="10"/>
        <v>138</v>
      </c>
      <c r="B158" s="9" t="str">
        <f ca="1">OFFSET(ORÇAMENTO!C$15,ROW(B158)-ROW(B$15),0)</f>
        <v>S</v>
      </c>
      <c r="C158" s="9" t="str">
        <f ca="1">OFFSET(ORÇAMENTO!L$15,ROW(C158)-ROW(C$15),0)</f>
        <v>F</v>
      </c>
      <c r="D158" s="146" t="str">
        <f ca="1">OFFSET(ORÇAMENTO!N$15,ROW(D158)-ROW(D$15),0)</f>
        <v>Serviço</v>
      </c>
      <c r="E158" s="206" t="str">
        <f ca="1">OFFSET(ORÇAMENTO!O$15,ROW(E158)-ROW(E$15),0)</f>
        <v>6.1.5.</v>
      </c>
      <c r="F158" s="207" t="str">
        <f ca="1">OFFSET(ORÇAMENTO!R$15,ROW(F158)-ROW(F$15),0)</f>
        <v>RUFO INTERNO/EXTERNO DE CHAPA DE ACO GALVANIZADA NUM 24, CORTE 25 CM (COLETADO CAIXA)</v>
      </c>
      <c r="G158" s="208" t="str">
        <f ca="1">IF($D158&lt;&gt;"Serviço","",OFFSET(ORÇAMENTO!S$15,ROW(G158)-ROW(G$15),0))</f>
        <v xml:space="preserve">M     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22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7</v>
      </c>
      <c r="N158" s="212" t="str">
        <f ca="1">IF($D158&lt;&gt;"Serviço","",IF(AUTOEVENTO="Manual",IF($A158=0,"&lt;-- defina o número do agrupador",OFFSET(EVENTOS!$D$14,$A158,0)),OFFSET($F$15,$A158,0)))</f>
        <v>(digite a descrição aqui)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25.5" x14ac:dyDescent="0.2">
      <c r="A159" s="9" t="str">
        <f t="shared" ca="1" si="10"/>
        <v>138</v>
      </c>
      <c r="B159" s="9" t="str">
        <f ca="1">OFFSET(ORÇAMENTO!C$15,ROW(B159)-ROW(B$15),0)</f>
        <v>S</v>
      </c>
      <c r="C159" s="9" t="str">
        <f ca="1">OFFSET(ORÇAMENTO!L$15,ROW(C159)-ROW(C$15),0)</f>
        <v>F</v>
      </c>
      <c r="D159" s="146" t="str">
        <f ca="1">OFFSET(ORÇAMENTO!N$15,ROW(D159)-ROW(D$15),0)</f>
        <v>Serviço</v>
      </c>
      <c r="E159" s="206" t="str">
        <f ca="1">OFFSET(ORÇAMENTO!O$15,ROW(E159)-ROW(E$15),0)</f>
        <v>6.1.6.</v>
      </c>
      <c r="F159" s="207" t="str">
        <f ca="1">OFFSET(ORÇAMENTO!R$15,ROW(F159)-ROW(F$15),0)</f>
        <v>CALHA QUADRADA DE CHAPA DE ACO GALVANIZADA NUM 24, CORTE 33 CM (COLETADO CAIXA)</v>
      </c>
      <c r="G159" s="208" t="str">
        <f ca="1">IF($D159&lt;&gt;"Serviço","",OFFSET(ORÇAMENTO!S$15,ROW(G159)-ROW(G$15),0))</f>
        <v xml:space="preserve">M     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12.5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7</v>
      </c>
      <c r="N159" s="212" t="str">
        <f ca="1">IF($D159&lt;&gt;"Serviço","",IF(AUTOEVENTO="Manual",IF($A159=0,"&lt;-- defina o número do agrupador",OFFSET(EVENTOS!$D$14,$A159,0)),OFFSET($F$15,$A159,0)))</f>
        <v>(digite a descrição aqui)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25.5" x14ac:dyDescent="0.2">
      <c r="A160" s="9" t="str">
        <f t="shared" ca="1" si="10"/>
        <v>138</v>
      </c>
      <c r="B160" s="9" t="str">
        <f ca="1">OFFSET(ORÇAMENTO!C$15,ROW(B160)-ROW(B$15),0)</f>
        <v>S</v>
      </c>
      <c r="C160" s="9" t="str">
        <f ca="1">OFFSET(ORÇAMENTO!L$15,ROW(C160)-ROW(C$15),0)</f>
        <v>F</v>
      </c>
      <c r="D160" s="146" t="str">
        <f ca="1">OFFSET(ORÇAMENTO!N$15,ROW(D160)-ROW(D$15),0)</f>
        <v>Serviço</v>
      </c>
      <c r="E160" s="206" t="str">
        <f ca="1">OFFSET(ORÇAMENTO!O$15,ROW(E160)-ROW(E$15),0)</f>
        <v>6.1.7.</v>
      </c>
      <c r="F160" s="207" t="str">
        <f ca="1">OFFSET(ORÇAMENTO!R$15,ROW(F160)-ROW(F$15),0)</f>
        <v>ALGEROSA , CHAPA GALVANIZADA 24 , CORTE MININO DE 35CM, INSTALADA</v>
      </c>
      <c r="G160" s="208" t="str">
        <f ca="1">IF($D160&lt;&gt;"Serviço","",OFFSET(ORÇAMENTO!S$15,ROW(G160)-ROW(G$15),0))</f>
        <v>M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22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7</v>
      </c>
      <c r="N160" s="212" t="str">
        <f ca="1">IF($D160&lt;&gt;"Serviço","",IF(AUTOEVENTO="Manual",IF($A160=0,"&lt;-- defina o número do agrupador",OFFSET(EVENTOS!$D$14,$A160,0)),OFFSET($F$15,$A160,0)))</f>
        <v>(digite a descrição aqui)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138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7</v>
      </c>
      <c r="N161" s="212" t="str">
        <f ca="1">IF($D161&lt;&gt;"Serviço","",IF(AUTOEVENTO="Manual",IF($A161=0,"&lt;-- defina o número do agrupador",OFFSET(EVENTOS!$D$14,$A161,0)),OFFSET($F$15,$A161,0)))</f>
        <v>(digite a descrição aqui)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138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7</v>
      </c>
      <c r="N162" s="212" t="str">
        <f ca="1">IF($D162&lt;&gt;"Serviço","",IF(AUTOEVENTO="Manual",IF($A162=0,"&lt;-- defina o número do agrupador",OFFSET(EVENTOS!$D$14,$A162,0)),OFFSET($F$15,$A162,0)))</f>
        <v>(digite a descrição aqui)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138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7</v>
      </c>
      <c r="N163" s="212" t="str">
        <f ca="1">IF($D163&lt;&gt;"Serviço","",IF(AUTOEVENTO="Manual",IF($A163=0,"&lt;-- defina o número do agrupador",OFFSET(EVENTOS!$D$14,$A163,0)),OFFSET($F$15,$A163,0)))</f>
        <v>(digite a descrição aqui)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138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7</v>
      </c>
      <c r="N164" s="212" t="str">
        <f ca="1">IF($D164&lt;&gt;"Serviço","",IF(AUTOEVENTO="Manual",IF($A164=0,"&lt;-- defina o número do agrupador",OFFSET(EVENTOS!$D$14,$A164,0)),OFFSET($F$15,$A164,0)))</f>
        <v>(digite a descrição aqui)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138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7</v>
      </c>
      <c r="N165" s="212" t="str">
        <f ca="1">IF($D165&lt;&gt;"Serviço","",IF(AUTOEVENTO="Manual",IF($A165=0,"&lt;-- defina o número do agrupador",OFFSET(EVENTOS!$D$14,$A165,0)),OFFSET($F$15,$A165,0)))</f>
        <v>(digite a descrição aqui)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138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7</v>
      </c>
      <c r="N166" s="212" t="str">
        <f ca="1">IF($D166&lt;&gt;"Serviço","",IF(AUTOEVENTO="Manual",IF($A166=0,"&lt;-- defina o número do agrupador",OFFSET(EVENTOS!$D$14,$A166,0)),OFFSET($F$15,$A166,0)))</f>
        <v>(digite a descrição aqui)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138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7</v>
      </c>
      <c r="N167" s="212" t="str">
        <f ca="1">IF($D167&lt;&gt;"Serviço","",IF(AUTOEVENTO="Manual",IF($A167=0,"&lt;-- defina o número do agrupador",OFFSET(EVENTOS!$D$14,$A167,0)),OFFSET($F$15,$A167,0)))</f>
        <v>(digite a descrição aqui)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153.</v>
      </c>
      <c r="B168" s="9">
        <f ca="1">OFFSET(ORÇAMENTO!C$15,ROW(B168)-ROW(B$15),0)</f>
        <v>1</v>
      </c>
      <c r="C168" s="9" t="str">
        <f ca="1">OFFSET(ORÇAMENTO!L$15,ROW(C168)-ROW(C$15),0)</f>
        <v>F</v>
      </c>
      <c r="D168" s="146" t="str">
        <f ca="1">OFFSET(ORÇAMENTO!N$15,ROW(D168)-ROW(D$15),0)</f>
        <v>Meta</v>
      </c>
      <c r="E168" s="206" t="str">
        <f ca="1">OFFSET(ORÇAMENTO!O$15,ROW(E168)-ROW(E$15),0)</f>
        <v>7.</v>
      </c>
      <c r="F168" s="207" t="str">
        <f ca="1">OFFSET(ORÇAMENTO!R$15,ROW(F168)-ROW(F$15),0)</f>
        <v>HIDRAULICO</v>
      </c>
      <c r="G168" s="208" t="str">
        <f ca="1">IF($D168&lt;&gt;"Serviço","",OFFSET(ORÇAMENTO!S$15,ROW(G168)-ROW(G$15),0))</f>
        <v/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 t="str">
        <f ca="1">IF($D168&lt;&gt;"Serviço","",IF(AUTOEVENTO="manual",$A168,IF(ISERROR(MATCH($A168,$A$15:OFFSET($A168,-1,0),0)),MAX($M$15:OFFSET(M168,-1,0))+1,INDEX($M$15:OFFSET(M168,-1,0),MATCH($A168,$A$15:OFFSET($A168,-1,0),0)))))</f>
        <v/>
      </c>
      <c r="N168" s="212" t="str">
        <f ca="1">IF($D168&lt;&gt;"Serviço","",IF(AUTOEVENTO="Manual",IF($A168=0,"&lt;-- defina o número do agrupador",OFFSET(EVENTOS!$D$14,$A168,0)),OFFSET($F$15,$A168,0)))</f>
        <v/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0</v>
      </c>
      <c r="AN168" s="216">
        <f ca="1">IF($D168&lt;&gt;"Serviço",0,IF(AND(AUTOEVENTO="Manual",$M168=1),0,IF(OFFSET(CRONOPLE!$F$14,$M168,AN$13)="",10^12,OFFSET(CRONOPLE!$F$14,$M168,AN$13))))</f>
        <v>0</v>
      </c>
      <c r="AO168" s="216">
        <f ca="1">IF($D168&lt;&gt;"Serviço",0,IF(AND(AUTOEVENTO="Manual",$M168=1),0,IF(OFFSET(CRONOPLE!$F$14,$M168,AO$13)="",10^12,OFFSET(CRONOPLE!$F$14,$M168,AO$13))))</f>
        <v>0</v>
      </c>
      <c r="AP168" s="216">
        <f ca="1">IF($D168&lt;&gt;"Serviço",0,IF(AND(AUTOEVENTO="Manual",$M168=1),0,IF(OFFSET(CRONOPLE!$F$14,$M168,AP$13)="",10^12,OFFSET(CRONOPLE!$F$14,$M168,AP$13))))</f>
        <v>0</v>
      </c>
      <c r="AQ168" s="216">
        <f ca="1">IF($D168&lt;&gt;"Serviço",0,IF(AND(AUTOEVENTO="Manual",$M168=1),0,IF(OFFSET(CRONOPLE!$F$14,$M168,AQ$13)="",10^12,OFFSET(CRONOPLE!$F$14,$M168,AQ$13))))</f>
        <v>0</v>
      </c>
      <c r="AR168" s="216">
        <f ca="1">IF($D168&lt;&gt;"Serviço",0,IF(AND(AUTOEVENTO="Manual",$M168=1),0,IF(OFFSET(CRONOPLE!$F$14,$M168,AR$13)="",10^12,OFFSET(CRONOPLE!$F$14,$M168,AR$13))))</f>
        <v>0</v>
      </c>
      <c r="AS168" s="216">
        <f ca="1">IF($D168&lt;&gt;"Serviço",0,IF(AND(AUTOEVENTO="Manual",$M168=1),0,IF(OFFSET(CRONOPLE!$F$14,$M168,AS$13)="",10^12,OFFSET(CRONOPLE!$F$14,$M168,AS$13))))</f>
        <v>0</v>
      </c>
      <c r="AT168" s="216">
        <f ca="1">IF($D168&lt;&gt;"Serviço",0,IF(AND(AUTOEVENTO="Manual",$M168=1),0,IF(OFFSET(CRONOPLE!$F$14,$M168,AT$13)="",10^12,OFFSET(CRONOPLE!$F$14,$M168,AT$13))))</f>
        <v>0</v>
      </c>
      <c r="AU168" s="216">
        <f ca="1">IF($D168&lt;&gt;"Serviço",0,IF(AND(AUTOEVENTO="Manual",$M168=1),0,IF(OFFSET(CRONOPLE!$F$14,$M168,AU$13)="",10^12,OFFSET(CRONOPLE!$F$14,$M168,AU$13))))</f>
        <v>0</v>
      </c>
      <c r="AV168" s="216">
        <f ca="1">IF($D168&lt;&gt;"Serviço",0,IF(AND(AUTOEVENTO="Manual",$M168=1),0,IF(OFFSET(CRONOPLE!$F$14,$M168,AV$13)="",10^12,OFFSET(CRONOPLE!$F$14,$M168,AV$13))))</f>
        <v>0</v>
      </c>
      <c r="AX168" s="217">
        <f ca="1">IF($D168&lt;&gt;"Serviço",0,IF(OR(AND(AUTOEVENTO="Manual",$M168=1),$M168&gt;(ROW(PLE.lastrow)-ROW(PLE.firstrow))),0,IF(OFFSET(PLE!$G$14,$M168,AX$13)="",10^12,OFFSET(PLE!$G$14,$M168,AX$13))))</f>
        <v>0</v>
      </c>
      <c r="AY168" s="217">
        <f ca="1">IF($D168&lt;&gt;"Serviço",0,IF(OR(AND(AUTOEVENTO="Manual",$M168=1),$M168&gt;(ROW(PLE.lastrow)-ROW(PLE.firstrow))),0,IF(OFFSET(PLE!$G$14,$M168,AY$13)="",10^12,OFFSET(PLE!$G$14,$M168,AY$13))))</f>
        <v>0</v>
      </c>
      <c r="AZ168" s="217">
        <f ca="1">IF($D168&lt;&gt;"Serviço",0,IF(OR(AND(AUTOEVENTO="Manual",$M168=1),$M168&gt;(ROW(PLE.lastrow)-ROW(PLE.firstrow))),0,IF(OFFSET(PLE!$G$14,$M168,AZ$13)="",10^12,OFFSET(PLE!$G$14,$M168,AZ$13))))</f>
        <v>0</v>
      </c>
      <c r="BA168" s="217">
        <f ca="1">IF($D168&lt;&gt;"Serviço",0,IF(OR(AND(AUTOEVENTO="Manual",$M168=1),$M168&gt;(ROW(PLE.lastrow)-ROW(PLE.firstrow))),0,IF(OFFSET(PLE!$G$14,$M168,BA$13)="",10^12,OFFSET(PLE!$G$14,$M168,BA$13))))</f>
        <v>0</v>
      </c>
      <c r="BB168" s="217">
        <f ca="1">IF($D168&lt;&gt;"Serviço",0,IF(OR(AND(AUTOEVENTO="Manual",$M168=1),$M168&gt;(ROW(PLE.lastrow)-ROW(PLE.firstrow))),0,IF(OFFSET(PLE!$G$14,$M168,BB$13)="",10^12,OFFSET(PLE!$G$14,$M168,BB$13))))</f>
        <v>0</v>
      </c>
      <c r="BC168" s="217">
        <f ca="1">IF($D168&lt;&gt;"Serviço",0,IF(OR(AND(AUTOEVENTO="Manual",$M168=1),$M168&gt;(ROW(PLE.lastrow)-ROW(PLE.firstrow))),0,IF(OFFSET(PLE!$G$14,$M168,BC$13)="",10^12,OFFSET(PLE!$G$14,$M168,BC$13))))</f>
        <v>0</v>
      </c>
      <c r="BD168" s="217">
        <f ca="1">IF($D168&lt;&gt;"Serviço",0,IF(OR(AND(AUTOEVENTO="Manual",$M168=1),$M168&gt;(ROW(PLE.lastrow)-ROW(PLE.firstrow))),0,IF(OFFSET(PLE!$G$14,$M168,BD$13)="",10^12,OFFSET(PLE!$G$14,$M168,BD$13))))</f>
        <v>0</v>
      </c>
      <c r="BE168" s="217">
        <f ca="1">IF($D168&lt;&gt;"Serviço",0,IF(OR(AND(AUTOEVENTO="Manual",$M168=1),$M168&gt;(ROW(PLE.lastrow)-ROW(PLE.firstrow))),0,IF(OFFSET(PLE!$G$14,$M168,BE$13)="",10^12,OFFSET(PLE!$G$14,$M168,BE$13))))</f>
        <v>0</v>
      </c>
      <c r="BF168" s="217">
        <f ca="1">IF($D168&lt;&gt;"Serviço",0,IF(OR(AND(AUTOEVENTO="Manual",$M168=1),$M168&gt;(ROW(PLE.lastrow)-ROW(PLE.firstrow))),0,IF(OFFSET(PLE!$G$14,$M168,BF$13)="",10^12,OFFSET(PLE!$G$14,$M168,BF$13))))</f>
        <v>0</v>
      </c>
      <c r="BG168" s="217">
        <f ca="1">IF($D168&lt;&gt;"Serviço",0,IF(OR(AND(AUTOEVENTO="Manual",$M168=1),$M168&gt;(ROW(PLE.lastrow)-ROW(PLE.firstrow))),0,IF(OFFSET(PLE!$G$14,$M168,BG$13)="",10^12,OFFSET(PLE!$G$14,$M168,BG$13))))</f>
        <v>0</v>
      </c>
    </row>
    <row r="169" spans="1:59" ht="12.75" x14ac:dyDescent="0.2">
      <c r="A169" s="9" t="str">
        <f t="shared" ca="1" si="10"/>
        <v>154.</v>
      </c>
      <c r="B169" s="9">
        <f ca="1">OFFSET(ORÇAMENTO!C$15,ROW(B169)-ROW(B$15),0)</f>
        <v>2</v>
      </c>
      <c r="C169" s="9" t="str">
        <f ca="1">OFFSET(ORÇAMENTO!L$15,ROW(C169)-ROW(C$15),0)</f>
        <v>F</v>
      </c>
      <c r="D169" s="146" t="str">
        <f ca="1">OFFSET(ORÇAMENTO!N$15,ROW(D169)-ROW(D$15),0)</f>
        <v>Nível 2</v>
      </c>
      <c r="E169" s="206" t="str">
        <f ca="1">OFFSET(ORÇAMENTO!O$15,ROW(E169)-ROW(E$15),0)</f>
        <v>7.1.</v>
      </c>
      <c r="F169" s="207" t="str">
        <f ca="1">OFFSET(ORÇAMENTO!R$15,ROW(F169)-ROW(F$15),0)</f>
        <v>(digite a descrição aqui)</v>
      </c>
      <c r="G169" s="208" t="str">
        <f ca="1">IF($D169&lt;&gt;"Serviço","",OFFSET(ORÇAMENTO!S$15,ROW(G169)-ROW(G$15),0))</f>
        <v/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 t="str">
        <f ca="1">IF($D169&lt;&gt;"Serviço","",IF(AUTOEVENTO="manual",$A169,IF(ISERROR(MATCH($A169,$A$15:OFFSET($A169,-1,0),0)),MAX($M$15:OFFSET(M169,-1,0))+1,INDEX($M$15:OFFSET(M169,-1,0),MATCH($A169,$A$15:OFFSET($A169,-1,0),0)))))</f>
        <v/>
      </c>
      <c r="N169" s="212" t="str">
        <f ca="1">IF($D169&lt;&gt;"Serviço","",IF(AUTOEVENTO="Manual",IF($A169=0,"&lt;-- defina o número do agrupador",OFFSET(EVENTOS!$D$14,$A169,0)),OFFSET($F$15,$A169,0)))</f>
        <v/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0</v>
      </c>
      <c r="AN169" s="216">
        <f ca="1">IF($D169&lt;&gt;"Serviço",0,IF(AND(AUTOEVENTO="Manual",$M169=1),0,IF(OFFSET(CRONOPLE!$F$14,$M169,AN$13)="",10^12,OFFSET(CRONOPLE!$F$14,$M169,AN$13))))</f>
        <v>0</v>
      </c>
      <c r="AO169" s="216">
        <f ca="1">IF($D169&lt;&gt;"Serviço",0,IF(AND(AUTOEVENTO="Manual",$M169=1),0,IF(OFFSET(CRONOPLE!$F$14,$M169,AO$13)="",10^12,OFFSET(CRONOPLE!$F$14,$M169,AO$13))))</f>
        <v>0</v>
      </c>
      <c r="AP169" s="216">
        <f ca="1">IF($D169&lt;&gt;"Serviço",0,IF(AND(AUTOEVENTO="Manual",$M169=1),0,IF(OFFSET(CRONOPLE!$F$14,$M169,AP$13)="",10^12,OFFSET(CRONOPLE!$F$14,$M169,AP$13))))</f>
        <v>0</v>
      </c>
      <c r="AQ169" s="216">
        <f ca="1">IF($D169&lt;&gt;"Serviço",0,IF(AND(AUTOEVENTO="Manual",$M169=1),0,IF(OFFSET(CRONOPLE!$F$14,$M169,AQ$13)="",10^12,OFFSET(CRONOPLE!$F$14,$M169,AQ$13))))</f>
        <v>0</v>
      </c>
      <c r="AR169" s="216">
        <f ca="1">IF($D169&lt;&gt;"Serviço",0,IF(AND(AUTOEVENTO="Manual",$M169=1),0,IF(OFFSET(CRONOPLE!$F$14,$M169,AR$13)="",10^12,OFFSET(CRONOPLE!$F$14,$M169,AR$13))))</f>
        <v>0</v>
      </c>
      <c r="AS169" s="216">
        <f ca="1">IF($D169&lt;&gt;"Serviço",0,IF(AND(AUTOEVENTO="Manual",$M169=1),0,IF(OFFSET(CRONOPLE!$F$14,$M169,AS$13)="",10^12,OFFSET(CRONOPLE!$F$14,$M169,AS$13))))</f>
        <v>0</v>
      </c>
      <c r="AT169" s="216">
        <f ca="1">IF($D169&lt;&gt;"Serviço",0,IF(AND(AUTOEVENTO="Manual",$M169=1),0,IF(OFFSET(CRONOPLE!$F$14,$M169,AT$13)="",10^12,OFFSET(CRONOPLE!$F$14,$M169,AT$13))))</f>
        <v>0</v>
      </c>
      <c r="AU169" s="216">
        <f ca="1">IF($D169&lt;&gt;"Serviço",0,IF(AND(AUTOEVENTO="Manual",$M169=1),0,IF(OFFSET(CRONOPLE!$F$14,$M169,AU$13)="",10^12,OFFSET(CRONOPLE!$F$14,$M169,AU$13))))</f>
        <v>0</v>
      </c>
      <c r="AV169" s="216">
        <f ca="1">IF($D169&lt;&gt;"Serviço",0,IF(AND(AUTOEVENTO="Manual",$M169=1),0,IF(OFFSET(CRONOPLE!$F$14,$M169,AV$13)="",10^12,OFFSET(CRONOPLE!$F$14,$M169,AV$13))))</f>
        <v>0</v>
      </c>
      <c r="AX169" s="217">
        <f ca="1">IF($D169&lt;&gt;"Serviço",0,IF(OR(AND(AUTOEVENTO="Manual",$M169=1),$M169&gt;(ROW(PLE.lastrow)-ROW(PLE.firstrow))),0,IF(OFFSET(PLE!$G$14,$M169,AX$13)="",10^12,OFFSET(PLE!$G$14,$M169,AX$13))))</f>
        <v>0</v>
      </c>
      <c r="AY169" s="217">
        <f ca="1">IF($D169&lt;&gt;"Serviço",0,IF(OR(AND(AUTOEVENTO="Manual",$M169=1),$M169&gt;(ROW(PLE.lastrow)-ROW(PLE.firstrow))),0,IF(OFFSET(PLE!$G$14,$M169,AY$13)="",10^12,OFFSET(PLE!$G$14,$M169,AY$13))))</f>
        <v>0</v>
      </c>
      <c r="AZ169" s="217">
        <f ca="1">IF($D169&lt;&gt;"Serviço",0,IF(OR(AND(AUTOEVENTO="Manual",$M169=1),$M169&gt;(ROW(PLE.lastrow)-ROW(PLE.firstrow))),0,IF(OFFSET(PLE!$G$14,$M169,AZ$13)="",10^12,OFFSET(PLE!$G$14,$M169,AZ$13))))</f>
        <v>0</v>
      </c>
      <c r="BA169" s="217">
        <f ca="1">IF($D169&lt;&gt;"Serviço",0,IF(OR(AND(AUTOEVENTO="Manual",$M169=1),$M169&gt;(ROW(PLE.lastrow)-ROW(PLE.firstrow))),0,IF(OFFSET(PLE!$G$14,$M169,BA$13)="",10^12,OFFSET(PLE!$G$14,$M169,BA$13))))</f>
        <v>0</v>
      </c>
      <c r="BB169" s="217">
        <f ca="1">IF($D169&lt;&gt;"Serviço",0,IF(OR(AND(AUTOEVENTO="Manual",$M169=1),$M169&gt;(ROW(PLE.lastrow)-ROW(PLE.firstrow))),0,IF(OFFSET(PLE!$G$14,$M169,BB$13)="",10^12,OFFSET(PLE!$G$14,$M169,BB$13))))</f>
        <v>0</v>
      </c>
      <c r="BC169" s="217">
        <f ca="1">IF($D169&lt;&gt;"Serviço",0,IF(OR(AND(AUTOEVENTO="Manual",$M169=1),$M169&gt;(ROW(PLE.lastrow)-ROW(PLE.firstrow))),0,IF(OFFSET(PLE!$G$14,$M169,BC$13)="",10^12,OFFSET(PLE!$G$14,$M169,BC$13))))</f>
        <v>0</v>
      </c>
      <c r="BD169" s="217">
        <f ca="1">IF($D169&lt;&gt;"Serviço",0,IF(OR(AND(AUTOEVENTO="Manual",$M169=1),$M169&gt;(ROW(PLE.lastrow)-ROW(PLE.firstrow))),0,IF(OFFSET(PLE!$G$14,$M169,BD$13)="",10^12,OFFSET(PLE!$G$14,$M169,BD$13))))</f>
        <v>0</v>
      </c>
      <c r="BE169" s="217">
        <f ca="1">IF($D169&lt;&gt;"Serviço",0,IF(OR(AND(AUTOEVENTO="Manual",$M169=1),$M169&gt;(ROW(PLE.lastrow)-ROW(PLE.firstrow))),0,IF(OFFSET(PLE!$G$14,$M169,BE$13)="",10^12,OFFSET(PLE!$G$14,$M169,BE$13))))</f>
        <v>0</v>
      </c>
      <c r="BF169" s="217">
        <f ca="1">IF($D169&lt;&gt;"Serviço",0,IF(OR(AND(AUTOEVENTO="Manual",$M169=1),$M169&gt;(ROW(PLE.lastrow)-ROW(PLE.firstrow))),0,IF(OFFSET(PLE!$G$14,$M169,BF$13)="",10^12,OFFSET(PLE!$G$14,$M169,BF$13))))</f>
        <v>0</v>
      </c>
      <c r="BG169" s="217">
        <f ca="1">IF($D169&lt;&gt;"Serviço",0,IF(OR(AND(AUTOEVENTO="Manual",$M169=1),$M169&gt;(ROW(PLE.lastrow)-ROW(PLE.firstrow))),0,IF(OFFSET(PLE!$G$14,$M169,BG$13)="",10^12,OFFSET(PLE!$G$14,$M169,BG$13))))</f>
        <v>0</v>
      </c>
    </row>
    <row r="170" spans="1:59" ht="25.5" x14ac:dyDescent="0.2">
      <c r="A170" s="9" t="str">
        <f t="shared" ca="1" si="10"/>
        <v>154</v>
      </c>
      <c r="B170" s="9" t="str">
        <f ca="1">OFFSET(ORÇAMENTO!C$15,ROW(B170)-ROW(B$15),0)</f>
        <v>S</v>
      </c>
      <c r="C170" s="9" t="str">
        <f ca="1">OFFSET(ORÇAMENTO!L$15,ROW(C170)-ROW(C$15),0)</f>
        <v>F</v>
      </c>
      <c r="D170" s="146" t="str">
        <f ca="1">OFFSET(ORÇAMENTO!N$15,ROW(D170)-ROW(D$15),0)</f>
        <v>Serviço</v>
      </c>
      <c r="E170" s="206" t="str">
        <f ca="1">OFFSET(ORÇAMENTO!O$15,ROW(E170)-ROW(E$15),0)</f>
        <v>7.1.1.</v>
      </c>
      <c r="F170" s="207" t="str">
        <f ca="1">OFFSET(ORÇAMENTO!R$15,ROW(F170)-ROW(F$15),0)</f>
        <v>VASO SANITÁRIO SIFONADO COM CAIXA ACOPLADA LOUÇA BRANCA - FORNECIMENTO E INSTALAÇÃO. AF_12/2013</v>
      </c>
      <c r="G170" s="208" t="str">
        <f ca="1">IF($D170&lt;&gt;"Serviço","",OFFSET(ORÇAMENTO!S$15,ROW(G170)-ROW(G$15),0))</f>
        <v>UN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1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8</v>
      </c>
      <c r="N170" s="212" t="str">
        <f ca="1">IF($D170&lt;&gt;"Serviço","",IF(AUTOEVENTO="Manual",IF($A170=0,"&lt;-- defina o número do agrupador",OFFSET(EVENTOS!$D$14,$A170,0)),OFFSET($F$15,$A170,0)))</f>
        <v>(digite a descrição aqui)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63.75" x14ac:dyDescent="0.2">
      <c r="A171" s="9" t="str">
        <f t="shared" ca="1" si="10"/>
        <v>154</v>
      </c>
      <c r="B171" s="9" t="str">
        <f ca="1">OFFSET(ORÇAMENTO!C$15,ROW(B171)-ROW(B$15),0)</f>
        <v>S</v>
      </c>
      <c r="C171" s="9" t="str">
        <f ca="1">OFFSET(ORÇAMENTO!L$15,ROW(C171)-ROW(C$15),0)</f>
        <v>F</v>
      </c>
      <c r="D171" s="146" t="str">
        <f ca="1">OFFSET(ORÇAMENTO!N$15,ROW(D171)-ROW(D$15),0)</f>
        <v>Serviço</v>
      </c>
      <c r="E171" s="206" t="str">
        <f ca="1">OFFSET(ORÇAMENTO!O$15,ROW(E171)-ROW(E$15),0)</f>
        <v>7.1.2.</v>
      </c>
      <c r="F171" s="207" t="str">
        <f ca="1">OFFSET(ORÇAMENTO!R$15,ROW(F171)-ROW(F$15),0)</f>
        <v>LAVATÓRIO LOUÇA BRANCA COM COLUNA, 45 X 55CM OU EQUIVALENTE, PADRÃO MÉDIO, INCLUSO SIFÃO TIPO GARRAFA, VÁLVULA E ENGATE FLEXÍVEL DE 40CM EM METAL CROMADO, COM TORNEIRA CROMADA DE MESA, PADRÃO MÉDIO - FORNECIMENTO E INSTALAÇÃO. AF_12/2013</v>
      </c>
      <c r="G171" s="208" t="str">
        <f ca="1">IF($D171&lt;&gt;"Serviço","",OFFSET(ORÇAMENTO!S$15,ROW(G171)-ROW(G$15),0))</f>
        <v>UN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1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8</v>
      </c>
      <c r="N171" s="212" t="str">
        <f ca="1">IF($D171&lt;&gt;"Serviço","",IF(AUTOEVENTO="Manual",IF($A171=0,"&lt;-- defina o número do agrupador",OFFSET(EVENTOS!$D$14,$A171,0)),OFFSET($F$15,$A171,0)))</f>
        <v>(digite a descrição aqui)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25.5" x14ac:dyDescent="0.2">
      <c r="A172" s="9" t="str">
        <f t="shared" ca="1" si="10"/>
        <v>154</v>
      </c>
      <c r="B172" s="9" t="str">
        <f ca="1">OFFSET(ORÇAMENTO!C$15,ROW(B172)-ROW(B$15),0)</f>
        <v>S</v>
      </c>
      <c r="C172" s="9" t="str">
        <f ca="1">OFFSET(ORÇAMENTO!L$15,ROW(C172)-ROW(C$15),0)</f>
        <v>F</v>
      </c>
      <c r="D172" s="146" t="str">
        <f ca="1">OFFSET(ORÇAMENTO!N$15,ROW(D172)-ROW(D$15),0)</f>
        <v>Serviço</v>
      </c>
      <c r="E172" s="206" t="str">
        <f ca="1">OFFSET(ORÇAMENTO!O$15,ROW(E172)-ROW(E$15),0)</f>
        <v>7.1.3.</v>
      </c>
      <c r="F172" s="207" t="str">
        <f ca="1">OFFSET(ORÇAMENTO!R$15,ROW(F172)-ROW(F$15),0)</f>
        <v>CHUVEIRO COMUM EM PLASTICO BRANCO, COM CANO, 3 TEMPERATURAS, 5500 W (110/220 V)</v>
      </c>
      <c r="G172" s="208" t="str">
        <f ca="1">IF($D172&lt;&gt;"Serviço","",OFFSET(ORÇAMENTO!S$15,ROW(G172)-ROW(G$15),0))</f>
        <v xml:space="preserve">UN    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5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8</v>
      </c>
      <c r="N172" s="212" t="str">
        <f ca="1">IF($D172&lt;&gt;"Serviço","",IF(AUTOEVENTO="Manual",IF($A172=0,"&lt;-- defina o número do agrupador",OFFSET(EVENTOS!$D$14,$A172,0)),OFFSET($F$15,$A172,0)))</f>
        <v>(digite a descrição aqui)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38.25" x14ac:dyDescent="0.2">
      <c r="A173" s="9" t="str">
        <f t="shared" ca="1" si="10"/>
        <v>154</v>
      </c>
      <c r="B173" s="9" t="str">
        <f ca="1">OFFSET(ORÇAMENTO!C$15,ROW(B173)-ROW(B$15),0)</f>
        <v>S</v>
      </c>
      <c r="C173" s="9" t="str">
        <f ca="1">OFFSET(ORÇAMENTO!L$15,ROW(C173)-ROW(C$15),0)</f>
        <v>F</v>
      </c>
      <c r="D173" s="146" t="str">
        <f ca="1">OFFSET(ORÇAMENTO!N$15,ROW(D173)-ROW(D$15),0)</f>
        <v>Serviço</v>
      </c>
      <c r="E173" s="206" t="str">
        <f ca="1">OFFSET(ORÇAMENTO!O$15,ROW(E173)-ROW(E$15),0)</f>
        <v>7.1.4.</v>
      </c>
      <c r="F173" s="207" t="str">
        <f ca="1">OFFSET(ORÇAMENTO!R$15,ROW(F173)-ROW(F$15),0)</f>
        <v>RALO SIFONADO, PVC, DN 100 X 40 MM, JUNTA SOLDÁVEL, FORNECIDO E INSTALADO EM RAMAL DE DESCARGA OU EM RAMAL DE ESGOTO SANITÁRIO. AF_12/2014</v>
      </c>
      <c r="G173" s="208" t="str">
        <f ca="1">IF($D173&lt;&gt;"Serviço","",OFFSET(ORÇAMENTO!S$15,ROW(G173)-ROW(G$15),0))</f>
        <v>UN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7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8</v>
      </c>
      <c r="N173" s="212" t="str">
        <f ca="1">IF($D173&lt;&gt;"Serviço","",IF(AUTOEVENTO="Manual",IF($A173=0,"&lt;-- defina o número do agrupador",OFFSET(EVENTOS!$D$14,$A173,0)),OFFSET($F$15,$A173,0)))</f>
        <v>(digite a descrição aqui)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25.5" x14ac:dyDescent="0.2">
      <c r="A174" s="9" t="str">
        <f t="shared" ca="1" si="10"/>
        <v>154</v>
      </c>
      <c r="B174" s="9" t="str">
        <f ca="1">OFFSET(ORÇAMENTO!C$15,ROW(B174)-ROW(B$15),0)</f>
        <v>S</v>
      </c>
      <c r="C174" s="9" t="str">
        <f ca="1">OFFSET(ORÇAMENTO!L$15,ROW(C174)-ROW(C$15),0)</f>
        <v>F</v>
      </c>
      <c r="D174" s="146" t="str">
        <f ca="1">OFFSET(ORÇAMENTO!N$15,ROW(D174)-ROW(D$15),0)</f>
        <v>Serviço</v>
      </c>
      <c r="E174" s="206" t="str">
        <f ca="1">OFFSET(ORÇAMENTO!O$15,ROW(E174)-ROW(E$15),0)</f>
        <v>7.1.5.</v>
      </c>
      <c r="F174" s="207" t="str">
        <f ca="1">OFFSET(ORÇAMENTO!R$15,ROW(F174)-ROW(F$15),0)</f>
        <v>SABONETEIRA PLASTICA TIPO DISPENSER PARA SABONETE LIQUIDO COM RESERVATORIO 800 A 1500 ML</v>
      </c>
      <c r="G174" s="208" t="str">
        <f ca="1">IF($D174&lt;&gt;"Serviço","",OFFSET(ORÇAMENTO!S$15,ROW(G174)-ROW(G$15),0))</f>
        <v xml:space="preserve">UN    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1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8</v>
      </c>
      <c r="N174" s="212" t="str">
        <f ca="1">IF($D174&lt;&gt;"Serviço","",IF(AUTOEVENTO="Manual",IF($A174=0,"&lt;-- defina o número do agrupador",OFFSET(EVENTOS!$D$14,$A174,0)),OFFSET($F$15,$A174,0)))</f>
        <v>(digite a descrição aqui)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25.5" x14ac:dyDescent="0.2">
      <c r="A175" s="9" t="str">
        <f t="shared" ca="1" si="10"/>
        <v>154</v>
      </c>
      <c r="B175" s="9" t="str">
        <f ca="1">OFFSET(ORÇAMENTO!C$15,ROW(B175)-ROW(B$15),0)</f>
        <v>S</v>
      </c>
      <c r="C175" s="9" t="str">
        <f ca="1">OFFSET(ORÇAMENTO!L$15,ROW(C175)-ROW(C$15),0)</f>
        <v>F</v>
      </c>
      <c r="D175" s="146" t="str">
        <f ca="1">OFFSET(ORÇAMENTO!N$15,ROW(D175)-ROW(D$15),0)</f>
        <v>Serviço</v>
      </c>
      <c r="E175" s="206" t="str">
        <f ca="1">OFFSET(ORÇAMENTO!O$15,ROW(E175)-ROW(E$15),0)</f>
        <v>7.1.6.</v>
      </c>
      <c r="F175" s="207" t="str">
        <f ca="1">OFFSET(ORÇAMENTO!R$15,ROW(F175)-ROW(F$15),0)</f>
        <v>REMOÇÃO DE LOUÇAS, DE FORMA MANUAL, SEM REAPROVEITAMENTO. AF_12/2017</v>
      </c>
      <c r="G175" s="208" t="str">
        <f ca="1">IF($D175&lt;&gt;"Serviço","",OFFSET(ORÇAMENTO!S$15,ROW(G175)-ROW(G$15),0))</f>
        <v>UN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1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8</v>
      </c>
      <c r="N175" s="212" t="str">
        <f ca="1">IF($D175&lt;&gt;"Serviço","",IF(AUTOEVENTO="Manual",IF($A175=0,"&lt;-- defina o número do agrupador",OFFSET(EVENTOS!$D$14,$A175,0)),OFFSET($F$15,$A175,0)))</f>
        <v>(digite a descrição aqui)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154</v>
      </c>
      <c r="B176" s="9" t="str">
        <f ca="1">OFFSET(ORÇAMENTO!C$15,ROW(B176)-ROW(B$15),0)</f>
        <v>S</v>
      </c>
      <c r="C176" s="9" t="str">
        <f ca="1">OFFSET(ORÇAMENTO!L$15,ROW(C176)-ROW(C$15),0)</f>
        <v>F</v>
      </c>
      <c r="D176" s="146" t="str">
        <f ca="1">OFFSET(ORÇAMENTO!N$15,ROW(D176)-ROW(D$15),0)</f>
        <v>Serviço</v>
      </c>
      <c r="E176" s="206" t="str">
        <f ca="1">OFFSET(ORÇAMENTO!O$15,ROW(E176)-ROW(E$15),0)</f>
        <v>7.1.7.</v>
      </c>
      <c r="F176" s="207" t="str">
        <f ca="1">OFFSET(ORÇAMENTO!R$15,ROW(F176)-ROW(F$15),0)</f>
        <v>BOX EM VIDRO TEMPERADO 8MM INCLUSIVE GUARNIÇÕES</v>
      </c>
      <c r="G176" s="208" t="str">
        <f ca="1">IF($D176&lt;&gt;"Serviço","",OFFSET(ORÇAMENTO!S$15,ROW(G176)-ROW(G$15),0))</f>
        <v>M2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1.85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8</v>
      </c>
      <c r="N176" s="212" t="str">
        <f ca="1">IF($D176&lt;&gt;"Serviço","",IF(AUTOEVENTO="Manual",IF($A176=0,"&lt;-- defina o número do agrupador",OFFSET(EVENTOS!$D$14,$A176,0)),OFFSET($F$15,$A176,0)))</f>
        <v>(digite a descrição aqui)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38.25" x14ac:dyDescent="0.2">
      <c r="A177" s="9" t="str">
        <f t="shared" ca="1" si="10"/>
        <v>154</v>
      </c>
      <c r="B177" s="9" t="str">
        <f ca="1">OFFSET(ORÇAMENTO!C$15,ROW(B177)-ROW(B$15),0)</f>
        <v>S</v>
      </c>
      <c r="C177" s="9" t="str">
        <f ca="1">OFFSET(ORÇAMENTO!L$15,ROW(C177)-ROW(C$15),0)</f>
        <v>F</v>
      </c>
      <c r="D177" s="146" t="str">
        <f ca="1">OFFSET(ORÇAMENTO!N$15,ROW(D177)-ROW(D$15),0)</f>
        <v>Serviço</v>
      </c>
      <c r="E177" s="206" t="str">
        <f ca="1">OFFSET(ORÇAMENTO!O$15,ROW(E177)-ROW(E$15),0)</f>
        <v>7.1.8.</v>
      </c>
      <c r="F177" s="207" t="str">
        <f ca="1">OFFSET(ORÇAMENTO!R$15,ROW(F177)-ROW(F$15),0)</f>
        <v>PONTO DE CONSUMO TERMINAL DE ÁGUA FRIA (SUBRAMAL) COM TUBULAÇÃO DE PVC, DN 25 MM, INSTALADO EM RAMAL DE ÁGUA, INCLUSOS RASGO E CHUMBAMENTO EM ALVENARIA. AF_12/2014</v>
      </c>
      <c r="G177" s="208" t="str">
        <f ca="1">IF($D177&lt;&gt;"Serviço","",OFFSET(ORÇAMENTO!S$15,ROW(G177)-ROW(G$15),0))</f>
        <v>UN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7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8</v>
      </c>
      <c r="N177" s="212" t="str">
        <f ca="1">IF($D177&lt;&gt;"Serviço","",IF(AUTOEVENTO="Manual",IF($A177=0,"&lt;-- defina o número do agrupador",OFFSET(EVENTOS!$D$14,$A177,0)),OFFSET($F$15,$A177,0)))</f>
        <v>(digite a descrição aqui)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25.5" x14ac:dyDescent="0.2">
      <c r="A178" s="9" t="str">
        <f t="shared" ca="1" si="10"/>
        <v>154</v>
      </c>
      <c r="B178" s="9" t="str">
        <f ca="1">OFFSET(ORÇAMENTO!C$15,ROW(B178)-ROW(B$15),0)</f>
        <v>S</v>
      </c>
      <c r="C178" s="9" t="str">
        <f ca="1">OFFSET(ORÇAMENTO!L$15,ROW(C178)-ROW(C$15),0)</f>
        <v>F</v>
      </c>
      <c r="D178" s="146" t="str">
        <f ca="1">OFFSET(ORÇAMENTO!N$15,ROW(D178)-ROW(D$15),0)</f>
        <v>Serviço</v>
      </c>
      <c r="E178" s="206" t="str">
        <f ca="1">OFFSET(ORÇAMENTO!O$15,ROW(E178)-ROW(E$15),0)</f>
        <v>7.1.9.</v>
      </c>
      <c r="F178" s="207" t="str">
        <f ca="1">OFFSET(ORÇAMENTO!R$15,ROW(F178)-ROW(F$15),0)</f>
        <v>CAIXA DE INSPEÇÃO EM CONCRETO PRÉ-MOLDADO DN 60CM COM TAMPA H= 60CM - FORNECIMENTO E INSTALACAO</v>
      </c>
      <c r="G178" s="208" t="str">
        <f ca="1">IF($D178&lt;&gt;"Serviço","",OFFSET(ORÇAMENTO!S$15,ROW(G178)-ROW(G$15),0))</f>
        <v>UN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2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8</v>
      </c>
      <c r="N178" s="212" t="str">
        <f ca="1">IF($D178&lt;&gt;"Serviço","",IF(AUTOEVENTO="Manual",IF($A178=0,"&lt;-- defina o número do agrupador",OFFSET(EVENTOS!$D$14,$A178,0)),OFFSET($F$15,$A178,0)))</f>
        <v>(digite a descrição aqui)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25.5" x14ac:dyDescent="0.2">
      <c r="A179" s="9" t="str">
        <f t="shared" ca="1" si="10"/>
        <v>154</v>
      </c>
      <c r="B179" s="9" t="str">
        <f ca="1">OFFSET(ORÇAMENTO!C$15,ROW(B179)-ROW(B$15),0)</f>
        <v>S</v>
      </c>
      <c r="C179" s="9" t="str">
        <f ca="1">OFFSET(ORÇAMENTO!L$15,ROW(C179)-ROW(C$15),0)</f>
        <v>F</v>
      </c>
      <c r="D179" s="146" t="str">
        <f ca="1">OFFSET(ORÇAMENTO!N$15,ROW(D179)-ROW(D$15),0)</f>
        <v>Serviço</v>
      </c>
      <c r="E179" s="206" t="str">
        <f ca="1">OFFSET(ORÇAMENTO!O$15,ROW(E179)-ROW(E$15),0)</f>
        <v>7.1.10.</v>
      </c>
      <c r="F179" s="207" t="str">
        <f ca="1">OFFSET(ORÇAMENTO!R$15,ROW(F179)-ROW(F$15),0)</f>
        <v>TUBO, PVC, SOLDÁVEL, DN 25MM, INSTALADO EM RAMAL OU SUB-RAMAL DE ÁGUA - FORNECIMENTO E INSTALAÇÃO. AF_12/2014</v>
      </c>
      <c r="G179" s="208" t="str">
        <f ca="1">IF($D179&lt;&gt;"Serviço","",OFFSET(ORÇAMENTO!S$15,ROW(G179)-ROW(G$15),0))</f>
        <v>M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12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8</v>
      </c>
      <c r="N179" s="212" t="str">
        <f ca="1">IF($D179&lt;&gt;"Serviço","",IF(AUTOEVENTO="Manual",IF($A179=0,"&lt;-- defina o número do agrupador",OFFSET(EVENTOS!$D$14,$A179,0)),OFFSET($F$15,$A179,0)))</f>
        <v>(digite a descrição aqui)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38.25" x14ac:dyDescent="0.2">
      <c r="A180" s="9" t="str">
        <f t="shared" ca="1" si="10"/>
        <v>154</v>
      </c>
      <c r="B180" s="9" t="str">
        <f ca="1">OFFSET(ORÇAMENTO!C$15,ROW(B180)-ROW(B$15),0)</f>
        <v>S</v>
      </c>
      <c r="C180" s="9" t="str">
        <f ca="1">OFFSET(ORÇAMENTO!L$15,ROW(C180)-ROW(C$15),0)</f>
        <v>F</v>
      </c>
      <c r="D180" s="146" t="str">
        <f ca="1">OFFSET(ORÇAMENTO!N$15,ROW(D180)-ROW(D$15),0)</f>
        <v>Serviço</v>
      </c>
      <c r="E180" s="206" t="str">
        <f ca="1">OFFSET(ORÇAMENTO!O$15,ROW(E180)-ROW(E$15),0)</f>
        <v>7.1.11.</v>
      </c>
      <c r="F180" s="207" t="str">
        <f ca="1">OFFSET(ORÇAMENTO!R$15,ROW(F180)-ROW(F$15),0)</f>
        <v>TUBO PVC, SERIE NORMAL, ESGOTO PREDIAL, DN 100 MM, FORNECIDO E INSTALADO EM RAMAL DE DESCARGA OU RAMAL DE ESGOTO SANITÁRIO. AF_12/2014</v>
      </c>
      <c r="G180" s="208" t="str">
        <f ca="1">IF($D180&lt;&gt;"Serviço","",OFFSET(ORÇAMENTO!S$15,ROW(G180)-ROW(G$15),0))</f>
        <v>M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18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8</v>
      </c>
      <c r="N180" s="212" t="str">
        <f ca="1">IF($D180&lt;&gt;"Serviço","",IF(AUTOEVENTO="Manual",IF($A180=0,"&lt;-- defina o número do agrupador",OFFSET(EVENTOS!$D$14,$A180,0)),OFFSET($F$15,$A180,0)))</f>
        <v>(digite a descrição aqui)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25.5" x14ac:dyDescent="0.2">
      <c r="A181" s="9" t="str">
        <f t="shared" ca="1" si="10"/>
        <v>154</v>
      </c>
      <c r="B181" s="9" t="str">
        <f ca="1">OFFSET(ORÇAMENTO!C$15,ROW(B181)-ROW(B$15),0)</f>
        <v>S</v>
      </c>
      <c r="C181" s="9" t="str">
        <f ca="1">OFFSET(ORÇAMENTO!L$15,ROW(C181)-ROW(C$15),0)</f>
        <v>F</v>
      </c>
      <c r="D181" s="146" t="str">
        <f ca="1">OFFSET(ORÇAMENTO!N$15,ROW(D181)-ROW(D$15),0)</f>
        <v>Serviço</v>
      </c>
      <c r="E181" s="206" t="str">
        <f ca="1">OFFSET(ORÇAMENTO!O$15,ROW(E181)-ROW(E$15),0)</f>
        <v>7.1.12.</v>
      </c>
      <c r="F181" s="207" t="str">
        <f ca="1">OFFSET(ORÇAMENTO!R$15,ROW(F181)-ROW(F$15),0)</f>
        <v>TUBO, PVC, SOLDÁVEL, DN 50MM, INSTALADO EM PRUMADA DE ÁGUA - FORNECIMENTO E INSTALAÇÃO. AF_12/2014</v>
      </c>
      <c r="G181" s="208" t="str">
        <f ca="1">IF($D181&lt;&gt;"Serviço","",OFFSET(ORÇAMENTO!S$15,ROW(G181)-ROW(G$15),0))</f>
        <v>M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6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8</v>
      </c>
      <c r="N181" s="212" t="str">
        <f ca="1">IF($D181&lt;&gt;"Serviço","",IF(AUTOEVENTO="Manual",IF($A181=0,"&lt;-- defina o número do agrupador",OFFSET(EVENTOS!$D$14,$A181,0)),OFFSET($F$15,$A181,0)))</f>
        <v>(digite a descrição aqui)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38.25" x14ac:dyDescent="0.2">
      <c r="A182" s="9" t="str">
        <f t="shared" ca="1" si="10"/>
        <v>154</v>
      </c>
      <c r="B182" s="9" t="str">
        <f ca="1">OFFSET(ORÇAMENTO!C$15,ROW(B182)-ROW(B$15),0)</f>
        <v>S</v>
      </c>
      <c r="C182" s="9" t="str">
        <f ca="1">OFFSET(ORÇAMENTO!L$15,ROW(C182)-ROW(C$15),0)</f>
        <v>F</v>
      </c>
      <c r="D182" s="146" t="str">
        <f ca="1">OFFSET(ORÇAMENTO!N$15,ROW(D182)-ROW(D$15),0)</f>
        <v>Serviço</v>
      </c>
      <c r="E182" s="206" t="str">
        <f ca="1">OFFSET(ORÇAMENTO!O$15,ROW(E182)-ROW(E$15),0)</f>
        <v>7.1.13.</v>
      </c>
      <c r="F182" s="207" t="str">
        <f ca="1">OFFSET(ORÇAMENTO!R$15,ROW(F182)-ROW(F$15),0)</f>
        <v>TUBO PVC, SERIE NORMAL, ESGOTO PREDIAL, DN 50 MM, FORNECIDO E INSTALADO EM RAMAL DE DESCARGA OU RAMAL DE ESGOTO SANITÁRIO. AF_12/2014</v>
      </c>
      <c r="G182" s="208" t="str">
        <f ca="1">IF($D182&lt;&gt;"Serviço","",OFFSET(ORÇAMENTO!S$15,ROW(G182)-ROW(G$15),0))</f>
        <v>M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10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8</v>
      </c>
      <c r="N182" s="212" t="str">
        <f ca="1">IF($D182&lt;&gt;"Serviço","",IF(AUTOEVENTO="Manual",IF($A182=0,"&lt;-- defina o número do agrupador",OFFSET(EVENTOS!$D$14,$A182,0)),OFFSET($F$15,$A182,0)))</f>
        <v>(digite a descrição aqui)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154</v>
      </c>
      <c r="B183" s="9" t="str">
        <f ca="1">OFFSET(ORÇAMENTO!C$15,ROW(B183)-ROW(B$15),0)</f>
        <v>S</v>
      </c>
      <c r="C183" s="9" t="str">
        <f ca="1">OFFSET(ORÇAMENTO!L$15,ROW(C183)-ROW(C$15),0)</f>
        <v>F</v>
      </c>
      <c r="D183" s="146" t="str">
        <f ca="1">OFFSET(ORÇAMENTO!N$15,ROW(D183)-ROW(D$15),0)</f>
        <v>Serviço</v>
      </c>
      <c r="E183" s="206" t="str">
        <f ca="1">OFFSET(ORÇAMENTO!O$15,ROW(E183)-ROW(E$15),0)</f>
        <v>7.1.14.</v>
      </c>
      <c r="F183" s="207" t="str">
        <f ca="1">OFFSET(ORÇAMENTO!R$15,ROW(F183)-ROW(F$15),0)</f>
        <v>KIT DE ACESSORIOS PARA BANHEIRO EM METAL CROMADO, 5 PECAS, INCLUSO FIXAÇÃO. AF_10/2016</v>
      </c>
      <c r="G183" s="208" t="str">
        <f ca="1">IF($D183&lt;&gt;"Serviço","",OFFSET(ORÇAMENTO!S$15,ROW(G183)-ROW(G$15),0))</f>
        <v>UN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1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8</v>
      </c>
      <c r="N183" s="212" t="str">
        <f ca="1">IF($D183&lt;&gt;"Serviço","",IF(AUTOEVENTO="Manual",IF($A183=0,"&lt;-- defina o número do agrupador",OFFSET(EVENTOS!$D$14,$A183,0)),OFFSET($F$15,$A183,0)))</f>
        <v>(digite a descrição aqui)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154</v>
      </c>
      <c r="B184" s="9" t="str">
        <f ca="1">OFFSET(ORÇAMENTO!C$15,ROW(B184)-ROW(B$15),0)</f>
        <v>S</v>
      </c>
      <c r="C184" s="9" t="str">
        <f ca="1">OFFSET(ORÇAMENTO!L$15,ROW(C184)-ROW(C$15),0)</f>
        <v>F</v>
      </c>
      <c r="D184" s="146" t="str">
        <f ca="1">OFFSET(ORÇAMENTO!N$15,ROW(D184)-ROW(D$15),0)</f>
        <v>Serviço</v>
      </c>
      <c r="E184" s="206" t="str">
        <f ca="1">OFFSET(ORÇAMENTO!O$15,ROW(E184)-ROW(E$15),0)</f>
        <v>7.1.15.</v>
      </c>
      <c r="F184" s="207" t="str">
        <f ca="1">OFFSET(ORÇAMENTO!R$15,ROW(F184)-ROW(F$15),0)</f>
        <v>PAPELEIRA DE PAREDE EM METAL CROMADO SEM TAMPA, INCLUSO FIXAÇÃO. AF_10/2016</v>
      </c>
      <c r="G184" s="208" t="str">
        <f ca="1">IF($D184&lt;&gt;"Serviço","",OFFSET(ORÇAMENTO!S$15,ROW(G184)-ROW(G$15),0))</f>
        <v>UN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1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8</v>
      </c>
      <c r="N184" s="212" t="str">
        <f ca="1">IF($D184&lt;&gt;"Serviço","",IF(AUTOEVENTO="Manual",IF($A184=0,"&lt;-- defina o número do agrupador",OFFSET(EVENTOS!$D$14,$A184,0)),OFFSET($F$15,$A184,0)))</f>
        <v>(digite a descrição aqui)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154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8</v>
      </c>
      <c r="N185" s="212" t="str">
        <f ca="1">IF($D185&lt;&gt;"Serviço","",IF(AUTOEVENTO="Manual",IF($A185=0,"&lt;-- defina o número do agrupador",OFFSET(EVENTOS!$D$14,$A185,0)),OFFSET($F$15,$A185,0)))</f>
        <v>(digite a descrição aqui)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171.</v>
      </c>
      <c r="B186" s="9">
        <f ca="1">OFFSET(ORÇAMENTO!C$15,ROW(B186)-ROW(B$15),0)</f>
        <v>1</v>
      </c>
      <c r="C186" s="9" t="str">
        <f ca="1">OFFSET(ORÇAMENTO!L$15,ROW(C186)-ROW(C$15),0)</f>
        <v>F</v>
      </c>
      <c r="D186" s="146" t="str">
        <f ca="1">OFFSET(ORÇAMENTO!N$15,ROW(D186)-ROW(D$15),0)</f>
        <v>Meta</v>
      </c>
      <c r="E186" s="206" t="str">
        <f ca="1">OFFSET(ORÇAMENTO!O$15,ROW(E186)-ROW(E$15),0)</f>
        <v>8.</v>
      </c>
      <c r="F186" s="207" t="str">
        <f ca="1">OFFSET(ORÇAMENTO!R$15,ROW(F186)-ROW(F$15),0)</f>
        <v>ELETRICO</v>
      </c>
      <c r="G186" s="208" t="str">
        <f ca="1">IF($D186&lt;&gt;"Serviço","",OFFSET(ORÇAMENTO!S$15,ROW(G186)-ROW(G$15),0))</f>
        <v/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 t="str">
        <f ca="1">IF($D186&lt;&gt;"Serviço","",IF(AUTOEVENTO="manual",$A186,IF(ISERROR(MATCH($A186,$A$15:OFFSET($A186,-1,0),0)),MAX($M$15:OFFSET(M186,-1,0))+1,INDEX($M$15:OFFSET(M186,-1,0),MATCH($A186,$A$15:OFFSET($A186,-1,0),0)))))</f>
        <v/>
      </c>
      <c r="N186" s="212" t="str">
        <f ca="1">IF($D186&lt;&gt;"Serviço","",IF(AUTOEVENTO="Manual",IF($A186=0,"&lt;-- defina o número do agrupador",OFFSET(EVENTOS!$D$14,$A186,0)),OFFSET($F$15,$A186,0)))</f>
        <v/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0</v>
      </c>
      <c r="AN186" s="216">
        <f ca="1">IF($D186&lt;&gt;"Serviço",0,IF(AND(AUTOEVENTO="Manual",$M186=1),0,IF(OFFSET(CRONOPLE!$F$14,$M186,AN$13)="",10^12,OFFSET(CRONOPLE!$F$14,$M186,AN$13))))</f>
        <v>0</v>
      </c>
      <c r="AO186" s="216">
        <f ca="1">IF($D186&lt;&gt;"Serviço",0,IF(AND(AUTOEVENTO="Manual",$M186=1),0,IF(OFFSET(CRONOPLE!$F$14,$M186,AO$13)="",10^12,OFFSET(CRONOPLE!$F$14,$M186,AO$13))))</f>
        <v>0</v>
      </c>
      <c r="AP186" s="216">
        <f ca="1">IF($D186&lt;&gt;"Serviço",0,IF(AND(AUTOEVENTO="Manual",$M186=1),0,IF(OFFSET(CRONOPLE!$F$14,$M186,AP$13)="",10^12,OFFSET(CRONOPLE!$F$14,$M186,AP$13))))</f>
        <v>0</v>
      </c>
      <c r="AQ186" s="216">
        <f ca="1">IF($D186&lt;&gt;"Serviço",0,IF(AND(AUTOEVENTO="Manual",$M186=1),0,IF(OFFSET(CRONOPLE!$F$14,$M186,AQ$13)="",10^12,OFFSET(CRONOPLE!$F$14,$M186,AQ$13))))</f>
        <v>0</v>
      </c>
      <c r="AR186" s="216">
        <f ca="1">IF($D186&lt;&gt;"Serviço",0,IF(AND(AUTOEVENTO="Manual",$M186=1),0,IF(OFFSET(CRONOPLE!$F$14,$M186,AR$13)="",10^12,OFFSET(CRONOPLE!$F$14,$M186,AR$13))))</f>
        <v>0</v>
      </c>
      <c r="AS186" s="216">
        <f ca="1">IF($D186&lt;&gt;"Serviço",0,IF(AND(AUTOEVENTO="Manual",$M186=1),0,IF(OFFSET(CRONOPLE!$F$14,$M186,AS$13)="",10^12,OFFSET(CRONOPLE!$F$14,$M186,AS$13))))</f>
        <v>0</v>
      </c>
      <c r="AT186" s="216">
        <f ca="1">IF($D186&lt;&gt;"Serviço",0,IF(AND(AUTOEVENTO="Manual",$M186=1),0,IF(OFFSET(CRONOPLE!$F$14,$M186,AT$13)="",10^12,OFFSET(CRONOPLE!$F$14,$M186,AT$13))))</f>
        <v>0</v>
      </c>
      <c r="AU186" s="216">
        <f ca="1">IF($D186&lt;&gt;"Serviço",0,IF(AND(AUTOEVENTO="Manual",$M186=1),0,IF(OFFSET(CRONOPLE!$F$14,$M186,AU$13)="",10^12,OFFSET(CRONOPLE!$F$14,$M186,AU$13))))</f>
        <v>0</v>
      </c>
      <c r="AV186" s="216">
        <f ca="1">IF($D186&lt;&gt;"Serviço",0,IF(AND(AUTOEVENTO="Manual",$M186=1),0,IF(OFFSET(CRONOPLE!$F$14,$M186,AV$13)="",10^12,OFFSET(CRONOPLE!$F$14,$M186,AV$13))))</f>
        <v>0</v>
      </c>
      <c r="AX186" s="217">
        <f ca="1">IF($D186&lt;&gt;"Serviço",0,IF(OR(AND(AUTOEVENTO="Manual",$M186=1),$M186&gt;(ROW(PLE.lastrow)-ROW(PLE.firstrow))),0,IF(OFFSET(PLE!$G$14,$M186,AX$13)="",10^12,OFFSET(PLE!$G$14,$M186,AX$13))))</f>
        <v>0</v>
      </c>
      <c r="AY186" s="217">
        <f ca="1">IF($D186&lt;&gt;"Serviço",0,IF(OR(AND(AUTOEVENTO="Manual",$M186=1),$M186&gt;(ROW(PLE.lastrow)-ROW(PLE.firstrow))),0,IF(OFFSET(PLE!$G$14,$M186,AY$13)="",10^12,OFFSET(PLE!$G$14,$M186,AY$13))))</f>
        <v>0</v>
      </c>
      <c r="AZ186" s="217">
        <f ca="1">IF($D186&lt;&gt;"Serviço",0,IF(OR(AND(AUTOEVENTO="Manual",$M186=1),$M186&gt;(ROW(PLE.lastrow)-ROW(PLE.firstrow))),0,IF(OFFSET(PLE!$G$14,$M186,AZ$13)="",10^12,OFFSET(PLE!$G$14,$M186,AZ$13))))</f>
        <v>0</v>
      </c>
      <c r="BA186" s="217">
        <f ca="1">IF($D186&lt;&gt;"Serviço",0,IF(OR(AND(AUTOEVENTO="Manual",$M186=1),$M186&gt;(ROW(PLE.lastrow)-ROW(PLE.firstrow))),0,IF(OFFSET(PLE!$G$14,$M186,BA$13)="",10^12,OFFSET(PLE!$G$14,$M186,BA$13))))</f>
        <v>0</v>
      </c>
      <c r="BB186" s="217">
        <f ca="1">IF($D186&lt;&gt;"Serviço",0,IF(OR(AND(AUTOEVENTO="Manual",$M186=1),$M186&gt;(ROW(PLE.lastrow)-ROW(PLE.firstrow))),0,IF(OFFSET(PLE!$G$14,$M186,BB$13)="",10^12,OFFSET(PLE!$G$14,$M186,BB$13))))</f>
        <v>0</v>
      </c>
      <c r="BC186" s="217">
        <f ca="1">IF($D186&lt;&gt;"Serviço",0,IF(OR(AND(AUTOEVENTO="Manual",$M186=1),$M186&gt;(ROW(PLE.lastrow)-ROW(PLE.firstrow))),0,IF(OFFSET(PLE!$G$14,$M186,BC$13)="",10^12,OFFSET(PLE!$G$14,$M186,BC$13))))</f>
        <v>0</v>
      </c>
      <c r="BD186" s="217">
        <f ca="1">IF($D186&lt;&gt;"Serviço",0,IF(OR(AND(AUTOEVENTO="Manual",$M186=1),$M186&gt;(ROW(PLE.lastrow)-ROW(PLE.firstrow))),0,IF(OFFSET(PLE!$G$14,$M186,BD$13)="",10^12,OFFSET(PLE!$G$14,$M186,BD$13))))</f>
        <v>0</v>
      </c>
      <c r="BE186" s="217">
        <f ca="1">IF($D186&lt;&gt;"Serviço",0,IF(OR(AND(AUTOEVENTO="Manual",$M186=1),$M186&gt;(ROW(PLE.lastrow)-ROW(PLE.firstrow))),0,IF(OFFSET(PLE!$G$14,$M186,BE$13)="",10^12,OFFSET(PLE!$G$14,$M186,BE$13))))</f>
        <v>0</v>
      </c>
      <c r="BF186" s="217">
        <f ca="1">IF($D186&lt;&gt;"Serviço",0,IF(OR(AND(AUTOEVENTO="Manual",$M186=1),$M186&gt;(ROW(PLE.lastrow)-ROW(PLE.firstrow))),0,IF(OFFSET(PLE!$G$14,$M186,BF$13)="",10^12,OFFSET(PLE!$G$14,$M186,BF$13))))</f>
        <v>0</v>
      </c>
      <c r="BG186" s="217">
        <f ca="1">IF($D186&lt;&gt;"Serviço",0,IF(OR(AND(AUTOEVENTO="Manual",$M186=1),$M186&gt;(ROW(PLE.lastrow)-ROW(PLE.firstrow))),0,IF(OFFSET(PLE!$G$14,$M186,BG$13)="",10^12,OFFSET(PLE!$G$14,$M186,BG$13))))</f>
        <v>0</v>
      </c>
    </row>
    <row r="187" spans="1:59" ht="12.75" x14ac:dyDescent="0.2">
      <c r="A187" s="9" t="str">
        <f t="shared" ca="1" si="10"/>
        <v>172.</v>
      </c>
      <c r="B187" s="9">
        <f ca="1">OFFSET(ORÇAMENTO!C$15,ROW(B187)-ROW(B$15),0)</f>
        <v>2</v>
      </c>
      <c r="C187" s="9" t="str">
        <f ca="1">OFFSET(ORÇAMENTO!L$15,ROW(C187)-ROW(C$15),0)</f>
        <v>F</v>
      </c>
      <c r="D187" s="146" t="str">
        <f ca="1">OFFSET(ORÇAMENTO!N$15,ROW(D187)-ROW(D$15),0)</f>
        <v>Nível 2</v>
      </c>
      <c r="E187" s="206" t="str">
        <f ca="1">OFFSET(ORÇAMENTO!O$15,ROW(E187)-ROW(E$15),0)</f>
        <v>8.1.</v>
      </c>
      <c r="F187" s="207" t="str">
        <f ca="1">OFFSET(ORÇAMENTO!R$15,ROW(F187)-ROW(F$15),0)</f>
        <v>(digite a descrição aqui)</v>
      </c>
      <c r="G187" s="208" t="str">
        <f ca="1">IF($D187&lt;&gt;"Serviço","",OFFSET(ORÇAMENTO!S$15,ROW(G187)-ROW(G$15),0))</f>
        <v/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 t="str">
        <f ca="1">IF($D187&lt;&gt;"Serviço","",IF(AUTOEVENTO="manual",$A187,IF(ISERROR(MATCH($A187,$A$15:OFFSET($A187,-1,0),0)),MAX($M$15:OFFSET(M187,-1,0))+1,INDEX($M$15:OFFSET(M187,-1,0),MATCH($A187,$A$15:OFFSET($A187,-1,0),0)))))</f>
        <v/>
      </c>
      <c r="N187" s="212" t="str">
        <f ca="1">IF($D187&lt;&gt;"Serviço","",IF(AUTOEVENTO="Manual",IF($A187=0,"&lt;-- defina o número do agrupador",OFFSET(EVENTOS!$D$14,$A187,0)),OFFSET($F$15,$A187,0)))</f>
        <v/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0</v>
      </c>
      <c r="AN187" s="216">
        <f ca="1">IF($D187&lt;&gt;"Serviço",0,IF(AND(AUTOEVENTO="Manual",$M187=1),0,IF(OFFSET(CRONOPLE!$F$14,$M187,AN$13)="",10^12,OFFSET(CRONOPLE!$F$14,$M187,AN$13))))</f>
        <v>0</v>
      </c>
      <c r="AO187" s="216">
        <f ca="1">IF($D187&lt;&gt;"Serviço",0,IF(AND(AUTOEVENTO="Manual",$M187=1),0,IF(OFFSET(CRONOPLE!$F$14,$M187,AO$13)="",10^12,OFFSET(CRONOPLE!$F$14,$M187,AO$13))))</f>
        <v>0</v>
      </c>
      <c r="AP187" s="216">
        <f ca="1">IF($D187&lt;&gt;"Serviço",0,IF(AND(AUTOEVENTO="Manual",$M187=1),0,IF(OFFSET(CRONOPLE!$F$14,$M187,AP$13)="",10^12,OFFSET(CRONOPLE!$F$14,$M187,AP$13))))</f>
        <v>0</v>
      </c>
      <c r="AQ187" s="216">
        <f ca="1">IF($D187&lt;&gt;"Serviço",0,IF(AND(AUTOEVENTO="Manual",$M187=1),0,IF(OFFSET(CRONOPLE!$F$14,$M187,AQ$13)="",10^12,OFFSET(CRONOPLE!$F$14,$M187,AQ$13))))</f>
        <v>0</v>
      </c>
      <c r="AR187" s="216">
        <f ca="1">IF($D187&lt;&gt;"Serviço",0,IF(AND(AUTOEVENTO="Manual",$M187=1),0,IF(OFFSET(CRONOPLE!$F$14,$M187,AR$13)="",10^12,OFFSET(CRONOPLE!$F$14,$M187,AR$13))))</f>
        <v>0</v>
      </c>
      <c r="AS187" s="216">
        <f ca="1">IF($D187&lt;&gt;"Serviço",0,IF(AND(AUTOEVENTO="Manual",$M187=1),0,IF(OFFSET(CRONOPLE!$F$14,$M187,AS$13)="",10^12,OFFSET(CRONOPLE!$F$14,$M187,AS$13))))</f>
        <v>0</v>
      </c>
      <c r="AT187" s="216">
        <f ca="1">IF($D187&lt;&gt;"Serviço",0,IF(AND(AUTOEVENTO="Manual",$M187=1),0,IF(OFFSET(CRONOPLE!$F$14,$M187,AT$13)="",10^12,OFFSET(CRONOPLE!$F$14,$M187,AT$13))))</f>
        <v>0</v>
      </c>
      <c r="AU187" s="216">
        <f ca="1">IF($D187&lt;&gt;"Serviço",0,IF(AND(AUTOEVENTO="Manual",$M187=1),0,IF(OFFSET(CRONOPLE!$F$14,$M187,AU$13)="",10^12,OFFSET(CRONOPLE!$F$14,$M187,AU$13))))</f>
        <v>0</v>
      </c>
      <c r="AV187" s="216">
        <f ca="1">IF($D187&lt;&gt;"Serviço",0,IF(AND(AUTOEVENTO="Manual",$M187=1),0,IF(OFFSET(CRONOPLE!$F$14,$M187,AV$13)="",10^12,OFFSET(CRONOPLE!$F$14,$M187,AV$13))))</f>
        <v>0</v>
      </c>
      <c r="AX187" s="217">
        <f ca="1">IF($D187&lt;&gt;"Serviço",0,IF(OR(AND(AUTOEVENTO="Manual",$M187=1),$M187&gt;(ROW(PLE.lastrow)-ROW(PLE.firstrow))),0,IF(OFFSET(PLE!$G$14,$M187,AX$13)="",10^12,OFFSET(PLE!$G$14,$M187,AX$13))))</f>
        <v>0</v>
      </c>
      <c r="AY187" s="217">
        <f ca="1">IF($D187&lt;&gt;"Serviço",0,IF(OR(AND(AUTOEVENTO="Manual",$M187=1),$M187&gt;(ROW(PLE.lastrow)-ROW(PLE.firstrow))),0,IF(OFFSET(PLE!$G$14,$M187,AY$13)="",10^12,OFFSET(PLE!$G$14,$M187,AY$13))))</f>
        <v>0</v>
      </c>
      <c r="AZ187" s="217">
        <f ca="1">IF($D187&lt;&gt;"Serviço",0,IF(OR(AND(AUTOEVENTO="Manual",$M187=1),$M187&gt;(ROW(PLE.lastrow)-ROW(PLE.firstrow))),0,IF(OFFSET(PLE!$G$14,$M187,AZ$13)="",10^12,OFFSET(PLE!$G$14,$M187,AZ$13))))</f>
        <v>0</v>
      </c>
      <c r="BA187" s="217">
        <f ca="1">IF($D187&lt;&gt;"Serviço",0,IF(OR(AND(AUTOEVENTO="Manual",$M187=1),$M187&gt;(ROW(PLE.lastrow)-ROW(PLE.firstrow))),0,IF(OFFSET(PLE!$G$14,$M187,BA$13)="",10^12,OFFSET(PLE!$G$14,$M187,BA$13))))</f>
        <v>0</v>
      </c>
      <c r="BB187" s="217">
        <f ca="1">IF($D187&lt;&gt;"Serviço",0,IF(OR(AND(AUTOEVENTO="Manual",$M187=1),$M187&gt;(ROW(PLE.lastrow)-ROW(PLE.firstrow))),0,IF(OFFSET(PLE!$G$14,$M187,BB$13)="",10^12,OFFSET(PLE!$G$14,$M187,BB$13))))</f>
        <v>0</v>
      </c>
      <c r="BC187" s="217">
        <f ca="1">IF($D187&lt;&gt;"Serviço",0,IF(OR(AND(AUTOEVENTO="Manual",$M187=1),$M187&gt;(ROW(PLE.lastrow)-ROW(PLE.firstrow))),0,IF(OFFSET(PLE!$G$14,$M187,BC$13)="",10^12,OFFSET(PLE!$G$14,$M187,BC$13))))</f>
        <v>0</v>
      </c>
      <c r="BD187" s="217">
        <f ca="1">IF($D187&lt;&gt;"Serviço",0,IF(OR(AND(AUTOEVENTO="Manual",$M187=1),$M187&gt;(ROW(PLE.lastrow)-ROW(PLE.firstrow))),0,IF(OFFSET(PLE!$G$14,$M187,BD$13)="",10^12,OFFSET(PLE!$G$14,$M187,BD$13))))</f>
        <v>0</v>
      </c>
      <c r="BE187" s="217">
        <f ca="1">IF($D187&lt;&gt;"Serviço",0,IF(OR(AND(AUTOEVENTO="Manual",$M187=1),$M187&gt;(ROW(PLE.lastrow)-ROW(PLE.firstrow))),0,IF(OFFSET(PLE!$G$14,$M187,BE$13)="",10^12,OFFSET(PLE!$G$14,$M187,BE$13))))</f>
        <v>0</v>
      </c>
      <c r="BF187" s="217">
        <f ca="1">IF($D187&lt;&gt;"Serviço",0,IF(OR(AND(AUTOEVENTO="Manual",$M187=1),$M187&gt;(ROW(PLE.lastrow)-ROW(PLE.firstrow))),0,IF(OFFSET(PLE!$G$14,$M187,BF$13)="",10^12,OFFSET(PLE!$G$14,$M187,BF$13))))</f>
        <v>0</v>
      </c>
      <c r="BG187" s="217">
        <f ca="1">IF($D187&lt;&gt;"Serviço",0,IF(OR(AND(AUTOEVENTO="Manual",$M187=1),$M187&gt;(ROW(PLE.lastrow)-ROW(PLE.firstrow))),0,IF(OFFSET(PLE!$G$14,$M187,BG$13)="",10^12,OFFSET(PLE!$G$14,$M187,BG$13))))</f>
        <v>0</v>
      </c>
    </row>
    <row r="188" spans="1:59" ht="38.25" x14ac:dyDescent="0.2">
      <c r="A188" s="9" t="str">
        <f t="shared" ca="1" si="10"/>
        <v>172</v>
      </c>
      <c r="B188" s="9" t="str">
        <f ca="1">OFFSET(ORÇAMENTO!C$15,ROW(B188)-ROW(B$15),0)</f>
        <v>S</v>
      </c>
      <c r="C188" s="9" t="str">
        <f ca="1">OFFSET(ORÇAMENTO!L$15,ROW(C188)-ROW(C$15),0)</f>
        <v>F</v>
      </c>
      <c r="D188" s="146" t="str">
        <f ca="1">OFFSET(ORÇAMENTO!N$15,ROW(D188)-ROW(D$15),0)</f>
        <v>Serviço</v>
      </c>
      <c r="E188" s="206" t="str">
        <f ca="1">OFFSET(ORÇAMENTO!O$15,ROW(E188)-ROW(E$15),0)</f>
        <v>8.1.1.</v>
      </c>
      <c r="F188" s="207" t="str">
        <f ca="1">OFFSET(ORÇAMENTO!R$15,ROW(F188)-ROW(F$15),0)</f>
        <v>PONTO DE ILUMINAÇÃO RESIDENCIAL INCLUINDO INTERRUPTOR PARALELO, CAIXA ELÉTRICA, ELETRODUTO, CABO, RASGO, QUEBRA E CHUMBAMENTO (EXCLUINDO LUMINÁRIA E LÂMPADA). AF_01/2016</v>
      </c>
      <c r="G188" s="208" t="str">
        <f ca="1">IF($D188&lt;&gt;"Serviço","",OFFSET(ORÇAMENTO!S$15,ROW(G188)-ROW(G$15),0))</f>
        <v>UN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5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9</v>
      </c>
      <c r="N188" s="212" t="str">
        <f ca="1">IF($D188&lt;&gt;"Serviço","",IF(AUTOEVENTO="Manual",IF($A188=0,"&lt;-- defina o número do agrupador",OFFSET(EVENTOS!$D$14,$A188,0)),OFFSET($F$15,$A188,0)))</f>
        <v>(digite a descrição aqui)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38.25" x14ac:dyDescent="0.2">
      <c r="A189" s="9" t="str">
        <f t="shared" ca="1" si="10"/>
        <v>172</v>
      </c>
      <c r="B189" s="9" t="str">
        <f ca="1">OFFSET(ORÇAMENTO!C$15,ROW(B189)-ROW(B$15),0)</f>
        <v>S</v>
      </c>
      <c r="C189" s="9" t="str">
        <f ca="1">OFFSET(ORÇAMENTO!L$15,ROW(C189)-ROW(C$15),0)</f>
        <v>F</v>
      </c>
      <c r="D189" s="146" t="str">
        <f ca="1">OFFSET(ORÇAMENTO!N$15,ROW(D189)-ROW(D$15),0)</f>
        <v>Serviço</v>
      </c>
      <c r="E189" s="206" t="str">
        <f ca="1">OFFSET(ORÇAMENTO!O$15,ROW(E189)-ROW(E$15),0)</f>
        <v>8.1.2.</v>
      </c>
      <c r="F189" s="207" t="str">
        <f ca="1">OFFSET(ORÇAMENTO!R$15,ROW(F189)-ROW(F$15),0)</f>
        <v>PONTO DE TOMADA RESIDENCIAL INCLUINDO TOMADA 20A/250V, CAIXA ELÉTRICA, ELETRODUTO, CABO, RASGO, QUEBRA E CHUMBAMENTO. AF_01/2016</v>
      </c>
      <c r="G189" s="208" t="str">
        <f ca="1">IF($D189&lt;&gt;"Serviço","",OFFSET(ORÇAMENTO!S$15,ROW(G189)-ROW(G$15),0))</f>
        <v>UN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35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9</v>
      </c>
      <c r="N189" s="212" t="str">
        <f ca="1">IF($D189&lt;&gt;"Serviço","",IF(AUTOEVENTO="Manual",IF($A189=0,"&lt;-- defina o número do agrupador",OFFSET(EVENTOS!$D$14,$A189,0)),OFFSET($F$15,$A189,0)))</f>
        <v>(digite a descrição aqui)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25.5" x14ac:dyDescent="0.2">
      <c r="A190" s="9" t="str">
        <f t="shared" ca="1" si="10"/>
        <v>172</v>
      </c>
      <c r="B190" s="9" t="str">
        <f ca="1">OFFSET(ORÇAMENTO!C$15,ROW(B190)-ROW(B$15),0)</f>
        <v>S</v>
      </c>
      <c r="C190" s="9" t="str">
        <f ca="1">OFFSET(ORÇAMENTO!L$15,ROW(C190)-ROW(C$15),0)</f>
        <v>F</v>
      </c>
      <c r="D190" s="146" t="str">
        <f ca="1">OFFSET(ORÇAMENTO!N$15,ROW(D190)-ROW(D$15),0)</f>
        <v>Serviço</v>
      </c>
      <c r="E190" s="206" t="str">
        <f ca="1">OFFSET(ORÇAMENTO!O$15,ROW(E190)-ROW(E$15),0)</f>
        <v>8.1.3.</v>
      </c>
      <c r="F190" s="207" t="str">
        <f ca="1">OFFSET(ORÇAMENTO!R$15,ROW(F190)-ROW(F$15),0)</f>
        <v>LUMINARIA DE TETO PLAFON/PLAFONIER EM PLASTICO COM BASE E27, POTENCIA MAXIMA 60 W (NAO INCLUI LAMPADA)</v>
      </c>
      <c r="G190" s="208" t="str">
        <f ca="1">IF($D190&lt;&gt;"Serviço","",OFFSET(ORÇAMENTO!S$15,ROW(G190)-ROW(G$15),0))</f>
        <v xml:space="preserve">UN    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5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9</v>
      </c>
      <c r="N190" s="212" t="str">
        <f ca="1">IF($D190&lt;&gt;"Serviço","",IF(AUTOEVENTO="Manual",IF($A190=0,"&lt;-- defina o número do agrupador",OFFSET(EVENTOS!$D$14,$A190,0)),OFFSET($F$15,$A190,0)))</f>
        <v>(digite a descrição aqui)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25.5" x14ac:dyDescent="0.2">
      <c r="A191" s="9" t="str">
        <f t="shared" ca="1" si="10"/>
        <v>172</v>
      </c>
      <c r="B191" s="9" t="str">
        <f ca="1">OFFSET(ORÇAMENTO!C$15,ROW(B191)-ROW(B$15),0)</f>
        <v>S</v>
      </c>
      <c r="C191" s="9" t="str">
        <f ca="1">OFFSET(ORÇAMENTO!L$15,ROW(C191)-ROW(C$15),0)</f>
        <v>F</v>
      </c>
      <c r="D191" s="146" t="str">
        <f ca="1">OFFSET(ORÇAMENTO!N$15,ROW(D191)-ROW(D$15),0)</f>
        <v>Serviço</v>
      </c>
      <c r="E191" s="206" t="str">
        <f ca="1">OFFSET(ORÇAMENTO!O$15,ROW(E191)-ROW(E$15),0)</f>
        <v>8.1.4.</v>
      </c>
      <c r="F191" s="207" t="str">
        <f ca="1">OFFSET(ORÇAMENTO!R$15,ROW(F191)-ROW(F$15),0)</f>
        <v>LAMPADA FLUORESCENTE ESPIRAL BRANCA 45 W, BASE E27 (127/220 V)</v>
      </c>
      <c r="G191" s="208" t="str">
        <f ca="1">IF($D191&lt;&gt;"Serviço","",OFFSET(ORÇAMENTO!S$15,ROW(G191)-ROW(G$15),0))</f>
        <v xml:space="preserve">UN    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5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9</v>
      </c>
      <c r="N191" s="212" t="str">
        <f ca="1">IF($D191&lt;&gt;"Serviço","",IF(AUTOEVENTO="Manual",IF($A191=0,"&lt;-- defina o número do agrupador",OFFSET(EVENTOS!$D$14,$A191,0)),OFFSET($F$15,$A191,0)))</f>
        <v>(digite a descrição aqui)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25.5" x14ac:dyDescent="0.2">
      <c r="A192" s="9" t="str">
        <f t="shared" ca="1" si="10"/>
        <v>172</v>
      </c>
      <c r="B192" s="9" t="str">
        <f ca="1">OFFSET(ORÇAMENTO!C$15,ROW(B192)-ROW(B$15),0)</f>
        <v>S</v>
      </c>
      <c r="C192" s="9" t="str">
        <f ca="1">OFFSET(ORÇAMENTO!L$15,ROW(C192)-ROW(C$15),0)</f>
        <v>F</v>
      </c>
      <c r="D192" s="146" t="str">
        <f ca="1">OFFSET(ORÇAMENTO!N$15,ROW(D192)-ROW(D$15),0)</f>
        <v>Serviço</v>
      </c>
      <c r="E192" s="206" t="str">
        <f ca="1">OFFSET(ORÇAMENTO!O$15,ROW(E192)-ROW(E$15),0)</f>
        <v>8.1.5.</v>
      </c>
      <c r="F192" s="207" t="str">
        <f ca="1">OFFSET(ORÇAMENTO!R$15,ROW(F192)-ROW(F$15),0)</f>
        <v>ESPELHO / PLACA CEGA 4" X 2", PARA INSTALACAO DE TOMADAS E INTERRUPTORES</v>
      </c>
      <c r="G192" s="208" t="str">
        <f ca="1">IF($D192&lt;&gt;"Serviço","",OFFSET(ORÇAMENTO!S$15,ROW(G192)-ROW(G$15),0))</f>
        <v xml:space="preserve">UN    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30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9</v>
      </c>
      <c r="N192" s="212" t="str">
        <f ca="1">IF($D192&lt;&gt;"Serviço","",IF(AUTOEVENTO="Manual",IF($A192=0,"&lt;-- defina o número do agrupador",OFFSET(EVENTOS!$D$14,$A192,0)),OFFSET($F$15,$A192,0)))</f>
        <v>(digite a descrição aqui)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25.5" x14ac:dyDescent="0.2">
      <c r="A193" s="9" t="str">
        <f t="shared" ca="1" si="10"/>
        <v>172</v>
      </c>
      <c r="B193" s="9" t="str">
        <f ca="1">OFFSET(ORÇAMENTO!C$15,ROW(B193)-ROW(B$15),0)</f>
        <v>S</v>
      </c>
      <c r="C193" s="9" t="str">
        <f ca="1">OFFSET(ORÇAMENTO!L$15,ROW(C193)-ROW(C$15),0)</f>
        <v>F</v>
      </c>
      <c r="D193" s="146" t="str">
        <f ca="1">OFFSET(ORÇAMENTO!N$15,ROW(D193)-ROW(D$15),0)</f>
        <v>Serviço</v>
      </c>
      <c r="E193" s="206" t="str">
        <f ca="1">OFFSET(ORÇAMENTO!O$15,ROW(E193)-ROW(E$15),0)</f>
        <v>8.1.6.</v>
      </c>
      <c r="F193" s="207" t="str">
        <f ca="1">OFFSET(ORÇAMENTO!R$15,ROW(F193)-ROW(F$15),0)</f>
        <v xml:space="preserve"> EXAUSTOR + 4 M  DE TUBO FLEXIVEL E GRADE EXTERNA, COM LIGAÇÃO NO INTERRUPTOR DE ENERGIA, INCLUINDO INSTALAÇÃO</v>
      </c>
      <c r="G193" s="208" t="str">
        <f ca="1">IF($D193&lt;&gt;"Serviço","",OFFSET(ORÇAMENTO!S$15,ROW(G193)-ROW(G$15),0))</f>
        <v>UNIDADE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8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9</v>
      </c>
      <c r="N193" s="212" t="str">
        <f ca="1">IF($D193&lt;&gt;"Serviço","",IF(AUTOEVENTO="Manual",IF($A193=0,"&lt;-- defina o número do agrupador",OFFSET(EVENTOS!$D$14,$A193,0)),OFFSET($F$15,$A193,0)))</f>
        <v>(digite a descrição aqui)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38.25" x14ac:dyDescent="0.2">
      <c r="A194" s="9" t="str">
        <f t="shared" ca="1" si="10"/>
        <v>172</v>
      </c>
      <c r="B194" s="9" t="str">
        <f ca="1">OFFSET(ORÇAMENTO!C$15,ROW(B194)-ROW(B$15),0)</f>
        <v>S</v>
      </c>
      <c r="C194" s="9" t="str">
        <f ca="1">OFFSET(ORÇAMENTO!L$15,ROW(C194)-ROW(C$15),0)</f>
        <v>F</v>
      </c>
      <c r="D194" s="146" t="str">
        <f ca="1">OFFSET(ORÇAMENTO!N$15,ROW(D194)-ROW(D$15),0)</f>
        <v>Serviço</v>
      </c>
      <c r="E194" s="206" t="str">
        <f ca="1">OFFSET(ORÇAMENTO!O$15,ROW(E194)-ROW(E$15),0)</f>
        <v>8.1.7.</v>
      </c>
      <c r="F194" s="207" t="str">
        <f ca="1">OFFSET(ORÇAMENTO!R$15,ROW(F194)-ROW(F$15),0)</f>
        <v>ELETRODUTO RÍGIDO ROSCÁVEL, PVC, DN 25 MM (3/4"), PARA CIRCUITOS TERMINAIS, INSTALADO EM FORRO - FORNECIMENTO E INSTALAÇÃO. AF_12/2015</v>
      </c>
      <c r="G194" s="208" t="str">
        <f ca="1">IF($D194&lt;&gt;"Serviço","",OFFSET(ORÇAMENTO!S$15,ROW(G194)-ROW(G$15),0))</f>
        <v>M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25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9</v>
      </c>
      <c r="N194" s="212" t="str">
        <f ca="1">IF($D194&lt;&gt;"Serviço","",IF(AUTOEVENTO="Manual",IF($A194=0,"&lt;-- defina o número do agrupador",OFFSET(EVENTOS!$D$14,$A194,0)),OFFSET($F$15,$A194,0)))</f>
        <v>(digite a descrição aqui)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25.5" x14ac:dyDescent="0.2">
      <c r="A195" s="9" t="str">
        <f t="shared" ca="1" si="10"/>
        <v>172</v>
      </c>
      <c r="B195" s="9" t="str">
        <f ca="1">OFFSET(ORÇAMENTO!C$15,ROW(B195)-ROW(B$15),0)</f>
        <v>S</v>
      </c>
      <c r="C195" s="9" t="str">
        <f ca="1">OFFSET(ORÇAMENTO!L$15,ROW(C195)-ROW(C$15),0)</f>
        <v>F</v>
      </c>
      <c r="D195" s="146" t="str">
        <f ca="1">OFFSET(ORÇAMENTO!N$15,ROW(D195)-ROW(D$15),0)</f>
        <v>Serviço</v>
      </c>
      <c r="E195" s="206" t="str">
        <f ca="1">OFFSET(ORÇAMENTO!O$15,ROW(E195)-ROW(E$15),0)</f>
        <v>8.1.8.</v>
      </c>
      <c r="F195" s="207" t="str">
        <f ca="1">OFFSET(ORÇAMENTO!R$15,ROW(F195)-ROW(F$15),0)</f>
        <v>FIO DE COBRE, SOLIDO, CLASSE 1, ISOLACAO EM PVC/A, ANTICHAMA BWF-B, 450/750V, SECAO NOMINAL 4 MM2</v>
      </c>
      <c r="G195" s="208" t="str">
        <f ca="1">IF($D195&lt;&gt;"Serviço","",OFFSET(ORÇAMENTO!S$15,ROW(G195)-ROW(G$15),0))</f>
        <v xml:space="preserve">M     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40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9</v>
      </c>
      <c r="N195" s="212" t="str">
        <f ca="1">IF($D195&lt;&gt;"Serviço","",IF(AUTOEVENTO="Manual",IF($A195=0,"&lt;-- defina o número do agrupador",OFFSET(EVENTOS!$D$14,$A195,0)),OFFSET($F$15,$A195,0)))</f>
        <v>(digite a descrição aqui)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25.5" x14ac:dyDescent="0.2">
      <c r="A196" s="9" t="str">
        <f t="shared" ca="1" si="10"/>
        <v>172</v>
      </c>
      <c r="B196" s="9" t="str">
        <f ca="1">OFFSET(ORÇAMENTO!C$15,ROW(B196)-ROW(B$15),0)</f>
        <v>S</v>
      </c>
      <c r="C196" s="9" t="str">
        <f ca="1">OFFSET(ORÇAMENTO!L$15,ROW(C196)-ROW(C$15),0)</f>
        <v>F</v>
      </c>
      <c r="D196" s="146" t="str">
        <f ca="1">OFFSET(ORÇAMENTO!N$15,ROW(D196)-ROW(D$15),0)</f>
        <v>Serviço</v>
      </c>
      <c r="E196" s="206" t="str">
        <f ca="1">OFFSET(ORÇAMENTO!O$15,ROW(E196)-ROW(E$15),0)</f>
        <v>8.1.9.</v>
      </c>
      <c r="F196" s="207" t="str">
        <f ca="1">OFFSET(ORÇAMENTO!R$15,ROW(F196)-ROW(F$15),0)</f>
        <v>FIO DE COBRE, SOLIDO, CLASSE 1, ISOLACAO EM PVC/A, ANTICHAMA BWF-B, 450/750V, SECAO NOMINAL 2,5 MM2</v>
      </c>
      <c r="G196" s="208" t="str">
        <f ca="1">IF($D196&lt;&gt;"Serviço","",OFFSET(ORÇAMENTO!S$15,ROW(G196)-ROW(G$15),0))</f>
        <v xml:space="preserve">M     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60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9</v>
      </c>
      <c r="N196" s="212" t="str">
        <f ca="1">IF($D196&lt;&gt;"Serviço","",IF(AUTOEVENTO="Manual",IF($A196=0,"&lt;-- defina o número do agrupador",OFFSET(EVENTOS!$D$14,$A196,0)),OFFSET($F$15,$A196,0)))</f>
        <v>(digite a descrição aqui)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25.5" x14ac:dyDescent="0.2">
      <c r="A197" s="9" t="str">
        <f t="shared" ca="1" si="10"/>
        <v>172</v>
      </c>
      <c r="B197" s="9" t="str">
        <f ca="1">OFFSET(ORÇAMENTO!C$15,ROW(B197)-ROW(B$15),0)</f>
        <v>S</v>
      </c>
      <c r="C197" s="9" t="str">
        <f ca="1">OFFSET(ORÇAMENTO!L$15,ROW(C197)-ROW(C$15),0)</f>
        <v>F</v>
      </c>
      <c r="D197" s="146" t="str">
        <f ca="1">OFFSET(ORÇAMENTO!N$15,ROW(D197)-ROW(D$15),0)</f>
        <v>Serviço</v>
      </c>
      <c r="E197" s="206" t="str">
        <f ca="1">OFFSET(ORÇAMENTO!O$15,ROW(E197)-ROW(E$15),0)</f>
        <v>8.1.10.</v>
      </c>
      <c r="F197" s="207" t="str">
        <f ca="1">OFFSET(ORÇAMENTO!R$15,ROW(F197)-ROW(F$15),0)</f>
        <v>FIO DE COBRE, SOLIDO, CLASSE 1, ISOLACAO EM PVC/A, ANTICHAMA BWF-B, 450/750V, SECAO NOMINAL 6 MM2</v>
      </c>
      <c r="G197" s="208" t="str">
        <f ca="1">IF($D197&lt;&gt;"Serviço","",OFFSET(ORÇAMENTO!S$15,ROW(G197)-ROW(G$15),0))</f>
        <v xml:space="preserve">M     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50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9</v>
      </c>
      <c r="N197" s="212" t="str">
        <f ca="1">IF($D197&lt;&gt;"Serviço","",IF(AUTOEVENTO="Manual",IF($A197=0,"&lt;-- defina o número do agrupador",OFFSET(EVENTOS!$D$14,$A197,0)),OFFSET($F$15,$A197,0)))</f>
        <v>(digite a descrição aqui)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172</v>
      </c>
      <c r="B198" s="9" t="str">
        <f ca="1">OFFSET(ORÇAMENTO!C$15,ROW(B198)-ROW(B$15),0)</f>
        <v>S</v>
      </c>
      <c r="C198" s="9" t="str">
        <f ca="1">OFFSET(ORÇAMENTO!L$15,ROW(C198)-ROW(C$15),0)</f>
        <v>F</v>
      </c>
      <c r="D198" s="146" t="str">
        <f ca="1">OFFSET(ORÇAMENTO!N$15,ROW(D198)-ROW(D$15),0)</f>
        <v>Serviço</v>
      </c>
      <c r="E198" s="206" t="str">
        <f ca="1">OFFSET(ORÇAMENTO!O$15,ROW(E198)-ROW(E$15),0)</f>
        <v>8.1.11.</v>
      </c>
      <c r="F198" s="207" t="str">
        <f ca="1">OFFSET(ORÇAMENTO!R$15,ROW(F198)-ROW(F$15),0)</f>
        <v xml:space="preserve">INSTALAÇÃO DE CHUVEIRO, INCLUINDO RASGO, TUBULAÇÃO ÁGUA, INSTALAÇÃO DE ENERGIA </v>
      </c>
      <c r="G198" s="208" t="str">
        <f ca="1">IF($D198&lt;&gt;"Serviço","",OFFSET(ORÇAMENTO!S$15,ROW(G198)-ROW(G$15),0))</f>
        <v>M2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5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9</v>
      </c>
      <c r="N198" s="212" t="str">
        <f ca="1">IF($D198&lt;&gt;"Serviço","",IF(AUTOEVENTO="Manual",IF($A198=0,"&lt;-- defina o número do agrupador",OFFSET(EVENTOS!$D$14,$A198,0)),OFFSET($F$15,$A198,0)))</f>
        <v>(digite a descrição aqui)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172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9</v>
      </c>
      <c r="N199" s="212" t="str">
        <f ca="1">IF($D199&lt;&gt;"Serviço","",IF(AUTOEVENTO="Manual",IF($A199=0,"&lt;-- defina o número do agrupador",OFFSET(EVENTOS!$D$14,$A199,0)),OFFSET($F$15,$A199,0)))</f>
        <v>(digite a descrição aqui)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172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9</v>
      </c>
      <c r="N200" s="212" t="str">
        <f ca="1">IF($D200&lt;&gt;"Serviço","",IF(AUTOEVENTO="Manual",IF($A200=0,"&lt;-- defina o número do agrupador",OFFSET(EVENTOS!$D$14,$A200,0)),OFFSET($F$15,$A200,0)))</f>
        <v>(digite a descrição aqui)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172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9</v>
      </c>
      <c r="N201" s="212" t="str">
        <f ca="1">IF($D201&lt;&gt;"Serviço","",IF(AUTOEVENTO="Manual",IF($A201=0,"&lt;-- defina o número do agrupador",OFFSET(EVENTOS!$D$14,$A201,0)),OFFSET($F$15,$A201,0)))</f>
        <v>(digite a descrição aqui)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187.</v>
      </c>
      <c r="B202" s="9">
        <f ca="1">OFFSET(ORÇAMENTO!C$15,ROW(B202)-ROW(B$15),0)</f>
        <v>1</v>
      </c>
      <c r="C202" s="9" t="str">
        <f ca="1">OFFSET(ORÇAMENTO!L$15,ROW(C202)-ROW(C$15),0)</f>
        <v>F</v>
      </c>
      <c r="D202" s="146" t="str">
        <f ca="1">OFFSET(ORÇAMENTO!N$15,ROW(D202)-ROW(D$15),0)</f>
        <v>Meta</v>
      </c>
      <c r="E202" s="206" t="str">
        <f ca="1">OFFSET(ORÇAMENTO!O$15,ROW(E202)-ROW(E$15),0)</f>
        <v>9.</v>
      </c>
      <c r="F202" s="207" t="str">
        <f ca="1">OFFSET(ORÇAMENTO!R$15,ROW(F202)-ROW(F$15),0)</f>
        <v>SERVIÇOS FINAIS</v>
      </c>
      <c r="G202" s="208" t="str">
        <f ca="1">IF($D202&lt;&gt;"Serviço","",OFFSET(ORÇAMENTO!S$15,ROW(G202)-ROW(G$15),0))</f>
        <v/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 t="str">
        <f ca="1">IF($D202&lt;&gt;"Serviço","",IF(AUTOEVENTO="manual",$A202,IF(ISERROR(MATCH($A202,$A$15:OFFSET($A202,-1,0),0)),MAX($M$15:OFFSET(M202,-1,0))+1,INDEX($M$15:OFFSET(M202,-1,0),MATCH($A202,$A$15:OFFSET($A202,-1,0),0)))))</f>
        <v/>
      </c>
      <c r="N202" s="212" t="str">
        <f ca="1">IF($D202&lt;&gt;"Serviço","",IF(AUTOEVENTO="Manual",IF($A202=0,"&lt;-- defina o número do agrupador",OFFSET(EVENTOS!$D$14,$A202,0)),OFFSET($F$15,$A202,0)))</f>
        <v/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0</v>
      </c>
      <c r="AN202" s="216">
        <f ca="1">IF($D202&lt;&gt;"Serviço",0,IF(AND(AUTOEVENTO="Manual",$M202=1),0,IF(OFFSET(CRONOPLE!$F$14,$M202,AN$13)="",10^12,OFFSET(CRONOPLE!$F$14,$M202,AN$13))))</f>
        <v>0</v>
      </c>
      <c r="AO202" s="216">
        <f ca="1">IF($D202&lt;&gt;"Serviço",0,IF(AND(AUTOEVENTO="Manual",$M202=1),0,IF(OFFSET(CRONOPLE!$F$14,$M202,AO$13)="",10^12,OFFSET(CRONOPLE!$F$14,$M202,AO$13))))</f>
        <v>0</v>
      </c>
      <c r="AP202" s="216">
        <f ca="1">IF($D202&lt;&gt;"Serviço",0,IF(AND(AUTOEVENTO="Manual",$M202=1),0,IF(OFFSET(CRONOPLE!$F$14,$M202,AP$13)="",10^12,OFFSET(CRONOPLE!$F$14,$M202,AP$13))))</f>
        <v>0</v>
      </c>
      <c r="AQ202" s="216">
        <f ca="1">IF($D202&lt;&gt;"Serviço",0,IF(AND(AUTOEVENTO="Manual",$M202=1),0,IF(OFFSET(CRONOPLE!$F$14,$M202,AQ$13)="",10^12,OFFSET(CRONOPLE!$F$14,$M202,AQ$13))))</f>
        <v>0</v>
      </c>
      <c r="AR202" s="216">
        <f ca="1">IF($D202&lt;&gt;"Serviço",0,IF(AND(AUTOEVENTO="Manual",$M202=1),0,IF(OFFSET(CRONOPLE!$F$14,$M202,AR$13)="",10^12,OFFSET(CRONOPLE!$F$14,$M202,AR$13))))</f>
        <v>0</v>
      </c>
      <c r="AS202" s="216">
        <f ca="1">IF($D202&lt;&gt;"Serviço",0,IF(AND(AUTOEVENTO="Manual",$M202=1),0,IF(OFFSET(CRONOPLE!$F$14,$M202,AS$13)="",10^12,OFFSET(CRONOPLE!$F$14,$M202,AS$13))))</f>
        <v>0</v>
      </c>
      <c r="AT202" s="216">
        <f ca="1">IF($D202&lt;&gt;"Serviço",0,IF(AND(AUTOEVENTO="Manual",$M202=1),0,IF(OFFSET(CRONOPLE!$F$14,$M202,AT$13)="",10^12,OFFSET(CRONOPLE!$F$14,$M202,AT$13))))</f>
        <v>0</v>
      </c>
      <c r="AU202" s="216">
        <f ca="1">IF($D202&lt;&gt;"Serviço",0,IF(AND(AUTOEVENTO="Manual",$M202=1),0,IF(OFFSET(CRONOPLE!$F$14,$M202,AU$13)="",10^12,OFFSET(CRONOPLE!$F$14,$M202,AU$13))))</f>
        <v>0</v>
      </c>
      <c r="AV202" s="216">
        <f ca="1">IF($D202&lt;&gt;"Serviço",0,IF(AND(AUTOEVENTO="Manual",$M202=1),0,IF(OFFSET(CRONOPLE!$F$14,$M202,AV$13)="",10^12,OFFSET(CRONOPLE!$F$14,$M202,AV$13))))</f>
        <v>0</v>
      </c>
      <c r="AX202" s="217">
        <f ca="1">IF($D202&lt;&gt;"Serviço",0,IF(OR(AND(AUTOEVENTO="Manual",$M202=1),$M202&gt;(ROW(PLE.lastrow)-ROW(PLE.firstrow))),0,IF(OFFSET(PLE!$G$14,$M202,AX$13)="",10^12,OFFSET(PLE!$G$14,$M202,AX$13))))</f>
        <v>0</v>
      </c>
      <c r="AY202" s="217">
        <f ca="1">IF($D202&lt;&gt;"Serviço",0,IF(OR(AND(AUTOEVENTO="Manual",$M202=1),$M202&gt;(ROW(PLE.lastrow)-ROW(PLE.firstrow))),0,IF(OFFSET(PLE!$G$14,$M202,AY$13)="",10^12,OFFSET(PLE!$G$14,$M202,AY$13))))</f>
        <v>0</v>
      </c>
      <c r="AZ202" s="217">
        <f ca="1">IF($D202&lt;&gt;"Serviço",0,IF(OR(AND(AUTOEVENTO="Manual",$M202=1),$M202&gt;(ROW(PLE.lastrow)-ROW(PLE.firstrow))),0,IF(OFFSET(PLE!$G$14,$M202,AZ$13)="",10^12,OFFSET(PLE!$G$14,$M202,AZ$13))))</f>
        <v>0</v>
      </c>
      <c r="BA202" s="217">
        <f ca="1">IF($D202&lt;&gt;"Serviço",0,IF(OR(AND(AUTOEVENTO="Manual",$M202=1),$M202&gt;(ROW(PLE.lastrow)-ROW(PLE.firstrow))),0,IF(OFFSET(PLE!$G$14,$M202,BA$13)="",10^12,OFFSET(PLE!$G$14,$M202,BA$13))))</f>
        <v>0</v>
      </c>
      <c r="BB202" s="217">
        <f ca="1">IF($D202&lt;&gt;"Serviço",0,IF(OR(AND(AUTOEVENTO="Manual",$M202=1),$M202&gt;(ROW(PLE.lastrow)-ROW(PLE.firstrow))),0,IF(OFFSET(PLE!$G$14,$M202,BB$13)="",10^12,OFFSET(PLE!$G$14,$M202,BB$13))))</f>
        <v>0</v>
      </c>
      <c r="BC202" s="217">
        <f ca="1">IF($D202&lt;&gt;"Serviço",0,IF(OR(AND(AUTOEVENTO="Manual",$M202=1),$M202&gt;(ROW(PLE.lastrow)-ROW(PLE.firstrow))),0,IF(OFFSET(PLE!$G$14,$M202,BC$13)="",10^12,OFFSET(PLE!$G$14,$M202,BC$13))))</f>
        <v>0</v>
      </c>
      <c r="BD202" s="217">
        <f ca="1">IF($D202&lt;&gt;"Serviço",0,IF(OR(AND(AUTOEVENTO="Manual",$M202=1),$M202&gt;(ROW(PLE.lastrow)-ROW(PLE.firstrow))),0,IF(OFFSET(PLE!$G$14,$M202,BD$13)="",10^12,OFFSET(PLE!$G$14,$M202,BD$13))))</f>
        <v>0</v>
      </c>
      <c r="BE202" s="217">
        <f ca="1">IF($D202&lt;&gt;"Serviço",0,IF(OR(AND(AUTOEVENTO="Manual",$M202=1),$M202&gt;(ROW(PLE.lastrow)-ROW(PLE.firstrow))),0,IF(OFFSET(PLE!$G$14,$M202,BE$13)="",10^12,OFFSET(PLE!$G$14,$M202,BE$13))))</f>
        <v>0</v>
      </c>
      <c r="BF202" s="217">
        <f ca="1">IF($D202&lt;&gt;"Serviço",0,IF(OR(AND(AUTOEVENTO="Manual",$M202=1),$M202&gt;(ROW(PLE.lastrow)-ROW(PLE.firstrow))),0,IF(OFFSET(PLE!$G$14,$M202,BF$13)="",10^12,OFFSET(PLE!$G$14,$M202,BF$13))))</f>
        <v>0</v>
      </c>
      <c r="BG202" s="217">
        <f ca="1">IF($D202&lt;&gt;"Serviço",0,IF(OR(AND(AUTOEVENTO="Manual",$M202=1),$M202&gt;(ROW(PLE.lastrow)-ROW(PLE.firstrow))),0,IF(OFFSET(PLE!$G$14,$M202,BG$13)="",10^12,OFFSET(PLE!$G$14,$M202,BG$13))))</f>
        <v>0</v>
      </c>
    </row>
    <row r="203" spans="1:59" ht="12.75" x14ac:dyDescent="0.2">
      <c r="A203" s="9" t="str">
        <f t="shared" ca="1" si="10"/>
        <v>188.</v>
      </c>
      <c r="B203" s="9">
        <f ca="1">OFFSET(ORÇAMENTO!C$15,ROW(B203)-ROW(B$15),0)</f>
        <v>2</v>
      </c>
      <c r="C203" s="9" t="str">
        <f ca="1">OFFSET(ORÇAMENTO!L$15,ROW(C203)-ROW(C$15),0)</f>
        <v>F</v>
      </c>
      <c r="D203" s="146" t="str">
        <f ca="1">OFFSET(ORÇAMENTO!N$15,ROW(D203)-ROW(D$15),0)</f>
        <v>Nível 2</v>
      </c>
      <c r="E203" s="206" t="str">
        <f ca="1">OFFSET(ORÇAMENTO!O$15,ROW(E203)-ROW(E$15),0)</f>
        <v>9.1.</v>
      </c>
      <c r="F203" s="207" t="str">
        <f ca="1">OFFSET(ORÇAMENTO!R$15,ROW(F203)-ROW(F$15),0)</f>
        <v>(digite a descrição aqui)</v>
      </c>
      <c r="G203" s="208" t="str">
        <f ca="1">IF($D203&lt;&gt;"Serviço","",OFFSET(ORÇAMENTO!S$15,ROW(G203)-ROW(G$15),0))</f>
        <v/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 t="str">
        <f ca="1">IF($D203&lt;&gt;"Serviço","",IF(AUTOEVENTO="manual",$A203,IF(ISERROR(MATCH($A203,$A$15:OFFSET($A203,-1,0),0)),MAX($M$15:OFFSET(M203,-1,0))+1,INDEX($M$15:OFFSET(M203,-1,0),MATCH($A203,$A$15:OFFSET($A203,-1,0),0)))))</f>
        <v/>
      </c>
      <c r="N203" s="212" t="str">
        <f ca="1">IF($D203&lt;&gt;"Serviço","",IF(AUTOEVENTO="Manual",IF($A203=0,"&lt;-- defina o número do agrupador",OFFSET(EVENTOS!$D$14,$A203,0)),OFFSET($F$15,$A203,0)))</f>
        <v/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0</v>
      </c>
      <c r="AN203" s="216">
        <f ca="1">IF($D203&lt;&gt;"Serviço",0,IF(AND(AUTOEVENTO="Manual",$M203=1),0,IF(OFFSET(CRONOPLE!$F$14,$M203,AN$13)="",10^12,OFFSET(CRONOPLE!$F$14,$M203,AN$13))))</f>
        <v>0</v>
      </c>
      <c r="AO203" s="216">
        <f ca="1">IF($D203&lt;&gt;"Serviço",0,IF(AND(AUTOEVENTO="Manual",$M203=1),0,IF(OFFSET(CRONOPLE!$F$14,$M203,AO$13)="",10^12,OFFSET(CRONOPLE!$F$14,$M203,AO$13))))</f>
        <v>0</v>
      </c>
      <c r="AP203" s="216">
        <f ca="1">IF($D203&lt;&gt;"Serviço",0,IF(AND(AUTOEVENTO="Manual",$M203=1),0,IF(OFFSET(CRONOPLE!$F$14,$M203,AP$13)="",10^12,OFFSET(CRONOPLE!$F$14,$M203,AP$13))))</f>
        <v>0</v>
      </c>
      <c r="AQ203" s="216">
        <f ca="1">IF($D203&lt;&gt;"Serviço",0,IF(AND(AUTOEVENTO="Manual",$M203=1),0,IF(OFFSET(CRONOPLE!$F$14,$M203,AQ$13)="",10^12,OFFSET(CRONOPLE!$F$14,$M203,AQ$13))))</f>
        <v>0</v>
      </c>
      <c r="AR203" s="216">
        <f ca="1">IF($D203&lt;&gt;"Serviço",0,IF(AND(AUTOEVENTO="Manual",$M203=1),0,IF(OFFSET(CRONOPLE!$F$14,$M203,AR$13)="",10^12,OFFSET(CRONOPLE!$F$14,$M203,AR$13))))</f>
        <v>0</v>
      </c>
      <c r="AS203" s="216">
        <f ca="1">IF($D203&lt;&gt;"Serviço",0,IF(AND(AUTOEVENTO="Manual",$M203=1),0,IF(OFFSET(CRONOPLE!$F$14,$M203,AS$13)="",10^12,OFFSET(CRONOPLE!$F$14,$M203,AS$13))))</f>
        <v>0</v>
      </c>
      <c r="AT203" s="216">
        <f ca="1">IF($D203&lt;&gt;"Serviço",0,IF(AND(AUTOEVENTO="Manual",$M203=1),0,IF(OFFSET(CRONOPLE!$F$14,$M203,AT$13)="",10^12,OFFSET(CRONOPLE!$F$14,$M203,AT$13))))</f>
        <v>0</v>
      </c>
      <c r="AU203" s="216">
        <f ca="1">IF($D203&lt;&gt;"Serviço",0,IF(AND(AUTOEVENTO="Manual",$M203=1),0,IF(OFFSET(CRONOPLE!$F$14,$M203,AU$13)="",10^12,OFFSET(CRONOPLE!$F$14,$M203,AU$13))))</f>
        <v>0</v>
      </c>
      <c r="AV203" s="216">
        <f ca="1">IF($D203&lt;&gt;"Serviço",0,IF(AND(AUTOEVENTO="Manual",$M203=1),0,IF(OFFSET(CRONOPLE!$F$14,$M203,AV$13)="",10^12,OFFSET(CRONOPLE!$F$14,$M203,AV$13))))</f>
        <v>0</v>
      </c>
      <c r="AX203" s="217">
        <f ca="1">IF($D203&lt;&gt;"Serviço",0,IF(OR(AND(AUTOEVENTO="Manual",$M203=1),$M203&gt;(ROW(PLE.lastrow)-ROW(PLE.firstrow))),0,IF(OFFSET(PLE!$G$14,$M203,AX$13)="",10^12,OFFSET(PLE!$G$14,$M203,AX$13))))</f>
        <v>0</v>
      </c>
      <c r="AY203" s="217">
        <f ca="1">IF($D203&lt;&gt;"Serviço",0,IF(OR(AND(AUTOEVENTO="Manual",$M203=1),$M203&gt;(ROW(PLE.lastrow)-ROW(PLE.firstrow))),0,IF(OFFSET(PLE!$G$14,$M203,AY$13)="",10^12,OFFSET(PLE!$G$14,$M203,AY$13))))</f>
        <v>0</v>
      </c>
      <c r="AZ203" s="217">
        <f ca="1">IF($D203&lt;&gt;"Serviço",0,IF(OR(AND(AUTOEVENTO="Manual",$M203=1),$M203&gt;(ROW(PLE.lastrow)-ROW(PLE.firstrow))),0,IF(OFFSET(PLE!$G$14,$M203,AZ$13)="",10^12,OFFSET(PLE!$G$14,$M203,AZ$13))))</f>
        <v>0</v>
      </c>
      <c r="BA203" s="217">
        <f ca="1">IF($D203&lt;&gt;"Serviço",0,IF(OR(AND(AUTOEVENTO="Manual",$M203=1),$M203&gt;(ROW(PLE.lastrow)-ROW(PLE.firstrow))),0,IF(OFFSET(PLE!$G$14,$M203,BA$13)="",10^12,OFFSET(PLE!$G$14,$M203,BA$13))))</f>
        <v>0</v>
      </c>
      <c r="BB203" s="217">
        <f ca="1">IF($D203&lt;&gt;"Serviço",0,IF(OR(AND(AUTOEVENTO="Manual",$M203=1),$M203&gt;(ROW(PLE.lastrow)-ROW(PLE.firstrow))),0,IF(OFFSET(PLE!$G$14,$M203,BB$13)="",10^12,OFFSET(PLE!$G$14,$M203,BB$13))))</f>
        <v>0</v>
      </c>
      <c r="BC203" s="217">
        <f ca="1">IF($D203&lt;&gt;"Serviço",0,IF(OR(AND(AUTOEVENTO="Manual",$M203=1),$M203&gt;(ROW(PLE.lastrow)-ROW(PLE.firstrow))),0,IF(OFFSET(PLE!$G$14,$M203,BC$13)="",10^12,OFFSET(PLE!$G$14,$M203,BC$13))))</f>
        <v>0</v>
      </c>
      <c r="BD203" s="217">
        <f ca="1">IF($D203&lt;&gt;"Serviço",0,IF(OR(AND(AUTOEVENTO="Manual",$M203=1),$M203&gt;(ROW(PLE.lastrow)-ROW(PLE.firstrow))),0,IF(OFFSET(PLE!$G$14,$M203,BD$13)="",10^12,OFFSET(PLE!$G$14,$M203,BD$13))))</f>
        <v>0</v>
      </c>
      <c r="BE203" s="217">
        <f ca="1">IF($D203&lt;&gt;"Serviço",0,IF(OR(AND(AUTOEVENTO="Manual",$M203=1),$M203&gt;(ROW(PLE.lastrow)-ROW(PLE.firstrow))),0,IF(OFFSET(PLE!$G$14,$M203,BE$13)="",10^12,OFFSET(PLE!$G$14,$M203,BE$13))))</f>
        <v>0</v>
      </c>
      <c r="BF203" s="217">
        <f ca="1">IF($D203&lt;&gt;"Serviço",0,IF(OR(AND(AUTOEVENTO="Manual",$M203=1),$M203&gt;(ROW(PLE.lastrow)-ROW(PLE.firstrow))),0,IF(OFFSET(PLE!$G$14,$M203,BF$13)="",10^12,OFFSET(PLE!$G$14,$M203,BF$13))))</f>
        <v>0</v>
      </c>
      <c r="BG203" s="217">
        <f ca="1">IF($D203&lt;&gt;"Serviço",0,IF(OR(AND(AUTOEVENTO="Manual",$M203=1),$M203&gt;(ROW(PLE.lastrow)-ROW(PLE.firstrow))),0,IF(OFFSET(PLE!$G$14,$M203,BG$13)="",10^12,OFFSET(PLE!$G$14,$M203,BG$13))))</f>
        <v>0</v>
      </c>
    </row>
    <row r="204" spans="1:59" ht="25.5" x14ac:dyDescent="0.2">
      <c r="A204" s="9" t="str">
        <f t="shared" ca="1" si="10"/>
        <v>188</v>
      </c>
      <c r="B204" s="9" t="str">
        <f ca="1">OFFSET(ORÇAMENTO!C$15,ROW(B204)-ROW(B$15),0)</f>
        <v>S</v>
      </c>
      <c r="C204" s="9" t="str">
        <f ca="1">OFFSET(ORÇAMENTO!L$15,ROW(C204)-ROW(C$15),0)</f>
        <v>F</v>
      </c>
      <c r="D204" s="146" t="str">
        <f ca="1">OFFSET(ORÇAMENTO!N$15,ROW(D204)-ROW(D$15),0)</f>
        <v>Serviço</v>
      </c>
      <c r="E204" s="206" t="str">
        <f ca="1">OFFSET(ORÇAMENTO!O$15,ROW(E204)-ROW(E$15),0)</f>
        <v>9.1.1.</v>
      </c>
      <c r="F204" s="207" t="str">
        <f ca="1">OFFSET(ORÇAMENTO!R$15,ROW(F204)-ROW(F$15),0)</f>
        <v>LIMPEZA FINAL DE OBRA, INTERNA EXTERNA, INCLUINDO LIMPEZA DE VIDRO , PAREDESE TETO</v>
      </c>
      <c r="G204" s="208" t="str">
        <f ca="1">IF($D204&lt;&gt;"Serviço","",OFFSET(ORÇAMENTO!S$15,ROW(G204)-ROW(G$15),0))</f>
        <v>UNIDADE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1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10</v>
      </c>
      <c r="N204" s="212" t="str">
        <f ca="1">IF($D204&lt;&gt;"Serviço","",IF(AUTOEVENTO="Manual",IF($A204=0,"&lt;-- defina o número do agrupador",OFFSET(EVENTOS!$D$14,$A204,0)),OFFSET($F$15,$A204,0)))</f>
        <v>(digite a descrição aqui)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188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10</v>
      </c>
      <c r="N205" s="212" t="str">
        <f ca="1">IF($D205&lt;&gt;"Serviço","",IF(AUTOEVENTO="Manual",IF($A205=0,"&lt;-- defina o número do agrupador",OFFSET(EVENTOS!$D$14,$A205,0)),OFFSET($F$15,$A205,0)))</f>
        <v>(digite a descrição aqui)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188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10</v>
      </c>
      <c r="N206" s="212" t="str">
        <f ca="1">IF($D206&lt;&gt;"Serviço","",IF(AUTOEVENTO="Manual",IF($A206=0,"&lt;-- defina o número do agrupador",OFFSET(EVENTOS!$D$14,$A206,0)),OFFSET($F$15,$A206,0)))</f>
        <v>(digite a descrição aqui)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188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10</v>
      </c>
      <c r="N207" s="212" t="str">
        <f ca="1">IF($D207&lt;&gt;"Serviço","",IF(AUTOEVENTO="Manual",IF($A207=0,"&lt;-- defina o número do agrupador",OFFSET(EVENTOS!$D$14,$A207,0)),OFFSET($F$15,$A207,0)))</f>
        <v>(digite a descrição aqui)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188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10</v>
      </c>
      <c r="N208" s="212" t="str">
        <f ca="1">IF($D208&lt;&gt;"Serviço","",IF(AUTOEVENTO="Manual",IF($A208=0,"&lt;-- defina o número do agrupador",OFFSET(EVENTOS!$D$14,$A208,0)),OFFSET($F$15,$A208,0)))</f>
        <v>(digite a descrição aqui)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188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10</v>
      </c>
      <c r="N209" s="212" t="str">
        <f ca="1">IF($D209&lt;&gt;"Serviço","",IF(AUTOEVENTO="Manual",IF($A209=0,"&lt;-- defina o número do agrupador",OFFSET(EVENTOS!$D$14,$A209,0)),OFFSET($F$15,$A209,0)))</f>
        <v>(digite a descrição aqui)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188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10</v>
      </c>
      <c r="N210" s="212" t="str">
        <f ca="1">IF($D210&lt;&gt;"Serviço","",IF(AUTOEVENTO="Manual",IF($A210=0,"&lt;-- defina o número do agrupador",OFFSET(EVENTOS!$D$14,$A210,0)),OFFSET($F$15,$A210,0)))</f>
        <v>(digite a descrição aqui)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188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10</v>
      </c>
      <c r="N211" s="212" t="str">
        <f ca="1">IF($D211&lt;&gt;"Serviço","",IF(AUTOEVENTO="Manual",IF($A211=0,"&lt;-- defina o número do agrupador",OFFSET(EVENTOS!$D$14,$A211,0)),OFFSET($F$15,$A211,0)))</f>
        <v>(digite a descrição aqui)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188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10</v>
      </c>
      <c r="N212" s="212" t="str">
        <f ca="1">IF($D212&lt;&gt;"Serviço","",IF(AUTOEVENTO="Manual",IF($A212=0,"&lt;-- defina o número do agrupador",OFFSET(EVENTOS!$D$14,$A212,0)),OFFSET($F$15,$A212,0)))</f>
        <v>(digite a descrição aqui)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188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10</v>
      </c>
      <c r="N213" s="212" t="str">
        <f ca="1">IF($D213&lt;&gt;"Serviço","",IF(AUTOEVENTO="Manual",IF($A213=0,"&lt;-- defina o número do agrupador",OFFSET(EVENTOS!$D$14,$A213,0)),OFFSET($F$15,$A213,0)))</f>
        <v>(digite a descrição aqui)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188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10</v>
      </c>
      <c r="N214" s="212" t="str">
        <f ca="1">IF($D214&lt;&gt;"Serviço","",IF(AUTOEVENTO="Manual",IF($A214=0,"&lt;-- defina o número do agrupador",OFFSET(EVENTOS!$D$14,$A214,0)),OFFSET($F$15,$A214,0)))</f>
        <v>(digite a descrição aqui)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188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10</v>
      </c>
      <c r="N215" s="212" t="str">
        <f ca="1">IF($D215&lt;&gt;"Serviço","",IF(AUTOEVENTO="Manual",IF($A215=0,"&lt;-- defina o número do agrupador",OFFSET(EVENTOS!$D$14,$A215,0)),OFFSET($F$15,$A215,0)))</f>
        <v>(digite a descrição aqui)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188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10</v>
      </c>
      <c r="N216" s="212" t="str">
        <f ca="1">IF($D216&lt;&gt;"Serviço","",IF(AUTOEVENTO="Manual",IF($A216=0,"&lt;-- defina o número do agrupador",OFFSET(EVENTOS!$D$14,$A216,0)),OFFSET($F$15,$A216,0)))</f>
        <v>(digite a descrição aqui)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188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10</v>
      </c>
      <c r="N217" s="212" t="str">
        <f ca="1">IF($D217&lt;&gt;"Serviço","",IF(AUTOEVENTO="Manual",IF($A217=0,"&lt;-- defina o número do agrupador",OFFSET(EVENTOS!$D$14,$A217,0)),OFFSET($F$15,$A217,0)))</f>
        <v>(digite a descrição aqui)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188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10</v>
      </c>
      <c r="N218" s="212" t="str">
        <f ca="1">IF($D218&lt;&gt;"Serviço","",IF(AUTOEVENTO="Manual",IF($A218=0,"&lt;-- defina o número do agrupador",OFFSET(EVENTOS!$D$14,$A218,0)),OFFSET($F$15,$A218,0)))</f>
        <v>(digite a descrição aqui)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188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10</v>
      </c>
      <c r="N219" s="212" t="str">
        <f ca="1">IF($D219&lt;&gt;"Serviço","",IF(AUTOEVENTO="Manual",IF($A219=0,"&lt;-- defina o número do agrupador",OFFSET(EVENTOS!$D$14,$A219,0)),OFFSET($F$15,$A219,0)))</f>
        <v>(digite a descrição aqui)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188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10</v>
      </c>
      <c r="N220" s="212" t="str">
        <f ca="1">IF($D220&lt;&gt;"Serviço","",IF(AUTOEVENTO="Manual",IF($A220=0,"&lt;-- defina o número do agrupador",OFFSET(EVENTOS!$D$14,$A220,0)),OFFSET($F$15,$A220,0)))</f>
        <v>(digite a descrição aqui)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188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10</v>
      </c>
      <c r="N221" s="212" t="str">
        <f ca="1">IF($D221&lt;&gt;"Serviço","",IF(AUTOEVENTO="Manual",IF($A221=0,"&lt;-- defina o número do agrupador",OFFSET(EVENTOS!$D$14,$A221,0)),OFFSET($F$15,$A221,0)))</f>
        <v>(digite a descrição aqui)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188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10</v>
      </c>
      <c r="N222" s="212" t="str">
        <f ca="1">IF($D222&lt;&gt;"Serviço","",IF(AUTOEVENTO="Manual",IF($A222=0,"&lt;-- defina o número do agrupador",OFFSET(EVENTOS!$D$14,$A222,0)),OFFSET($F$15,$A222,0)))</f>
        <v>(digite a descrição aqui)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188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10</v>
      </c>
      <c r="N223" s="212" t="str">
        <f ca="1">IF($D223&lt;&gt;"Serviço","",IF(AUTOEVENTO="Manual",IF($A223=0,"&lt;-- defina o número do agrupador",OFFSET(EVENTOS!$D$14,$A223,0)),OFFSET($F$15,$A223,0)))</f>
        <v>(digite a descrição aqui)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188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10</v>
      </c>
      <c r="N224" s="212" t="str">
        <f ca="1">IF($D224&lt;&gt;"Serviço","",IF(AUTOEVENTO="Manual",IF($A224=0,"&lt;-- defina o número do agrupador",OFFSET(EVENTOS!$D$14,$A224,0)),OFFSET($F$15,$A224,0)))</f>
        <v>(digite a descrição aqui)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188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10</v>
      </c>
      <c r="N225" s="212" t="str">
        <f ca="1">IF($D225&lt;&gt;"Serviço","",IF(AUTOEVENTO="Manual",IF($A225=0,"&lt;-- defina o número do agrupador",OFFSET(EVENTOS!$D$14,$A225,0)),OFFSET($F$15,$A225,0)))</f>
        <v>(digite a descrição aqui)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188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10</v>
      </c>
      <c r="N226" s="212" t="str">
        <f ca="1">IF($D226&lt;&gt;"Serviço","",IF(AUTOEVENTO="Manual",IF($A226=0,"&lt;-- defina o número do agrupador",OFFSET(EVENTOS!$D$14,$A226,0)),OFFSET($F$15,$A226,0)))</f>
        <v>(digite a descrição aqui)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188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10</v>
      </c>
      <c r="N227" s="212" t="str">
        <f ca="1">IF($D227&lt;&gt;"Serviço","",IF(AUTOEVENTO="Manual",IF($A227=0,"&lt;-- defina o número do agrupador",OFFSET(EVENTOS!$D$14,$A227,0)),OFFSET($F$15,$A227,0)))</f>
        <v>(digite a descrição aqui)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188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10</v>
      </c>
      <c r="N228" s="212" t="str">
        <f ca="1">IF($D228&lt;&gt;"Serviço","",IF(AUTOEVENTO="Manual",IF($A228=0,"&lt;-- defina o número do agrupador",OFFSET(EVENTOS!$D$14,$A228,0)),OFFSET($F$15,$A228,0)))</f>
        <v>(digite a descrição aqui)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188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10</v>
      </c>
      <c r="N229" s="212" t="str">
        <f ca="1">IF($D229&lt;&gt;"Serviço","",IF(AUTOEVENTO="Manual",IF($A229=0,"&lt;-- defina o número do agrupador",OFFSET(EVENTOS!$D$14,$A229,0)),OFFSET($F$15,$A229,0)))</f>
        <v>(digite a descrição aqui)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188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10</v>
      </c>
      <c r="N230" s="212" t="str">
        <f ca="1">IF($D230&lt;&gt;"Serviço","",IF(AUTOEVENTO="Manual",IF($A230=0,"&lt;-- defina o número do agrupador",OFFSET(EVENTOS!$D$14,$A230,0)),OFFSET($F$15,$A230,0)))</f>
        <v>(digite a descrição aqui)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188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10</v>
      </c>
      <c r="N231" s="212" t="str">
        <f ca="1">IF($D231&lt;&gt;"Serviço","",IF(AUTOEVENTO="Manual",IF($A231=0,"&lt;-- defina o número do agrupador",OFFSET(EVENTOS!$D$14,$A231,0)),OFFSET($F$15,$A231,0)))</f>
        <v>(digite a descrição aqui)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188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10</v>
      </c>
      <c r="N232" s="212" t="str">
        <f ca="1">IF($D232&lt;&gt;"Serviço","",IF(AUTOEVENTO="Manual",IF($A232=0,"&lt;-- defina o número do agrupador",OFFSET(EVENTOS!$D$14,$A232,0)),OFFSET($F$15,$A232,0)))</f>
        <v>(digite a descrição aqui)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188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10</v>
      </c>
      <c r="N233" s="212" t="str">
        <f ca="1">IF($D233&lt;&gt;"Serviço","",IF(AUTOEVENTO="Manual",IF($A233=0,"&lt;-- defina o número do agrupador",OFFSET(EVENTOS!$D$14,$A233,0)),OFFSET($F$15,$A233,0)))</f>
        <v>(digite a descrição aqui)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188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10</v>
      </c>
      <c r="N234" s="212" t="str">
        <f ca="1">IF($D234&lt;&gt;"Serviço","",IF(AUTOEVENTO="Manual",IF($A234=0,"&lt;-- defina o número do agrupador",OFFSET(EVENTOS!$D$14,$A234,0)),OFFSET($F$15,$A234,0)))</f>
        <v>(digite a descrição aqui)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188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10</v>
      </c>
      <c r="N235" s="212" t="str">
        <f ca="1">IF($D235&lt;&gt;"Serviço","",IF(AUTOEVENTO="Manual",IF($A235=0,"&lt;-- defina o número do agrupador",OFFSET(EVENTOS!$D$14,$A235,0)),OFFSET($F$15,$A235,0)))</f>
        <v>(digite a descrição aqui)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188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10</v>
      </c>
      <c r="N236" s="212" t="str">
        <f ca="1">IF($D236&lt;&gt;"Serviço","",IF(AUTOEVENTO="Manual",IF($A236=0,"&lt;-- defina o número do agrupador",OFFSET(EVENTOS!$D$14,$A236,0)),OFFSET($F$15,$A236,0)))</f>
        <v>(digite a descrição aqui)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188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10</v>
      </c>
      <c r="N237" s="212" t="str">
        <f ca="1">IF($D237&lt;&gt;"Serviço","",IF(AUTOEVENTO="Manual",IF($A237=0,"&lt;-- defina o número do agrupador",OFFSET(EVENTOS!$D$14,$A237,0)),OFFSET($F$15,$A237,0)))</f>
        <v>(digite a descrição aqui)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188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10</v>
      </c>
      <c r="N238" s="212" t="str">
        <f ca="1">IF($D238&lt;&gt;"Serviço","",IF(AUTOEVENTO="Manual",IF($A238=0,"&lt;-- defina o número do agrupador",OFFSET(EVENTOS!$D$14,$A238,0)),OFFSET($F$15,$A238,0)))</f>
        <v>(digite a descrição aqui)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188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10</v>
      </c>
      <c r="N239" s="212" t="str">
        <f ca="1">IF($D239&lt;&gt;"Serviço","",IF(AUTOEVENTO="Manual",IF($A239=0,"&lt;-- defina o número do agrupador",OFFSET(EVENTOS!$D$14,$A239,0)),OFFSET($F$15,$A239,0)))</f>
        <v>(digite a descrição aqui)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188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>
        <f ca="1">OFFSET(ORÇAMENTO!R$15,ROW(F240)-ROW(F$15),0)</f>
        <v>0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10</v>
      </c>
      <c r="N240" s="212" t="str">
        <f ca="1">IF($D240&lt;&gt;"Serviço","",IF(AUTOEVENTO="Manual",IF($A240=0,"&lt;-- defina o número do agrupador",OFFSET(EVENTOS!$D$14,$A240,0)),OFFSET($F$15,$A240,0)))</f>
        <v>(digite a descrição aqui)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188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10</v>
      </c>
      <c r="N241" s="212" t="str">
        <f ca="1">IF($D241&lt;&gt;"Serviço","",IF(AUTOEVENTO="Manual",IF($A241=0,"&lt;-- defina o número do agrupador",OFFSET(EVENTOS!$D$14,$A241,0)),OFFSET($F$15,$A241,0)))</f>
        <v>(digite a descrição aqui)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188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10</v>
      </c>
      <c r="N242" s="212" t="str">
        <f ca="1">IF($D242&lt;&gt;"Serviço","",IF(AUTOEVENTO="Manual",IF($A242=0,"&lt;-- defina o número do agrupador",OFFSET(EVENTOS!$D$14,$A242,0)),OFFSET($F$15,$A242,0)))</f>
        <v>(digite a descrição aqui)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188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10</v>
      </c>
      <c r="N243" s="212" t="str">
        <f ca="1">IF($D243&lt;&gt;"Serviço","",IF(AUTOEVENTO="Manual",IF($A243=0,"&lt;-- defina o número do agrupador",OFFSET(EVENTOS!$D$14,$A243,0)),OFFSET($F$15,$A243,0)))</f>
        <v>(digite a descrição aqui)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188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10</v>
      </c>
      <c r="N244" s="212" t="str">
        <f ca="1">IF($D244&lt;&gt;"Serviço","",IF(AUTOEVENTO="Manual",IF($A244=0,"&lt;-- defina o número do agrupador",OFFSET(EVENTOS!$D$14,$A244,0)),OFFSET($F$15,$A244,0)))</f>
        <v>(digite a descrição aqui)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188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10</v>
      </c>
      <c r="N245" s="212" t="str">
        <f ca="1">IF($D245&lt;&gt;"Serviço","",IF(AUTOEVENTO="Manual",IF($A245=0,"&lt;-- defina o número do agrupador",OFFSET(EVENTOS!$D$14,$A245,0)),OFFSET($F$15,$A245,0)))</f>
        <v>(digite a descrição aqui)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188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10</v>
      </c>
      <c r="N246" s="212" t="str">
        <f ca="1">IF($D246&lt;&gt;"Serviço","",IF(AUTOEVENTO="Manual",IF($A246=0,"&lt;-- defina o número do agrupador",OFFSET(EVENTOS!$D$14,$A246,0)),OFFSET($F$15,$A246,0)))</f>
        <v>(digite a descrição aqui)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188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10</v>
      </c>
      <c r="N247" s="212" t="str">
        <f ca="1">IF($D247&lt;&gt;"Serviço","",IF(AUTOEVENTO="Manual",IF($A247=0,"&lt;-- defina o número do agrupador",OFFSET(EVENTOS!$D$14,$A247,0)),OFFSET($F$15,$A247,0)))</f>
        <v>(digite a descrição aqui)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188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10</v>
      </c>
      <c r="N248" s="212" t="str">
        <f ca="1">IF($D248&lt;&gt;"Serviço","",IF(AUTOEVENTO="Manual",IF($A248=0,"&lt;-- defina o número do agrupador",OFFSET(EVENTOS!$D$14,$A248,0)),OFFSET($F$15,$A248,0)))</f>
        <v>(digite a descrição aqui)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188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10</v>
      </c>
      <c r="N249" s="212" t="str">
        <f ca="1">IF($D249&lt;&gt;"Serviço","",IF(AUTOEVENTO="Manual",IF($A249=0,"&lt;-- defina o número do agrupador",OFFSET(EVENTOS!$D$14,$A249,0)),OFFSET($F$15,$A249,0)))</f>
        <v>(digite a descrição aqui)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188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10</v>
      </c>
      <c r="N250" s="212" t="str">
        <f ca="1">IF($D250&lt;&gt;"Serviço","",IF(AUTOEVENTO="Manual",IF($A250=0,"&lt;-- defina o número do agrupador",OFFSET(EVENTOS!$D$14,$A250,0)),OFFSET($F$15,$A250,0)))</f>
        <v>(digite a descrição aqui)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188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10</v>
      </c>
      <c r="N251" s="212" t="str">
        <f ca="1">IF($D251&lt;&gt;"Serviço","",IF(AUTOEVENTO="Manual",IF($A251=0,"&lt;-- defina o número do agrupador",OFFSET(EVENTOS!$D$14,$A251,0)),OFFSET($F$15,$A251,0)))</f>
        <v>(digite a descrição aqui)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188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10</v>
      </c>
      <c r="N252" s="212" t="str">
        <f ca="1">IF($D252&lt;&gt;"Serviço","",IF(AUTOEVENTO="Manual",IF($A252=0,"&lt;-- defina o número do agrupador",OFFSET(EVENTOS!$D$14,$A252,0)),OFFSET($F$15,$A252,0)))</f>
        <v>(digite a descrição aqui)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188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10</v>
      </c>
      <c r="N253" s="212" t="str">
        <f ca="1">IF($D253&lt;&gt;"Serviço","",IF(AUTOEVENTO="Manual",IF($A253=0,"&lt;-- defina o número do agrupador",OFFSET(EVENTOS!$D$14,$A253,0)),OFFSET($F$15,$A253,0)))</f>
        <v>(digite a descrição aqui)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188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10</v>
      </c>
      <c r="N254" s="212" t="str">
        <f ca="1">IF($D254&lt;&gt;"Serviço","",IF(AUTOEVENTO="Manual",IF($A254=0,"&lt;-- defina o número do agrupador",OFFSET(EVENTOS!$D$14,$A254,0)),OFFSET($F$15,$A254,0)))</f>
        <v>(digite a descrição aqui)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188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10</v>
      </c>
      <c r="N255" s="212" t="str">
        <f ca="1">IF($D255&lt;&gt;"Serviço","",IF(AUTOEVENTO="Manual",IF($A255=0,"&lt;-- defina o número do agrupador",OFFSET(EVENTOS!$D$14,$A255,0)),OFFSET($F$15,$A255,0)))</f>
        <v>(digite a descrição aqui)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188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10</v>
      </c>
      <c r="N256" s="212" t="str">
        <f ca="1">IF($D256&lt;&gt;"Serviço","",IF(AUTOEVENTO="Manual",IF($A256=0,"&lt;-- defina o número do agrupador",OFFSET(EVENTOS!$D$14,$A256,0)),OFFSET($F$15,$A256,0)))</f>
        <v>(digite a descrição aqui)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188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10</v>
      </c>
      <c r="N257" s="212" t="str">
        <f ca="1">IF($D257&lt;&gt;"Serviço","",IF(AUTOEVENTO="Manual",IF($A257=0,"&lt;-- defina o número do agrupador",OFFSET(EVENTOS!$D$14,$A257,0)),OFFSET($F$15,$A257,0)))</f>
        <v>(digite a descrição aqui)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188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10</v>
      </c>
      <c r="N258" s="212" t="str">
        <f ca="1">IF($D258&lt;&gt;"Serviço","",IF(AUTOEVENTO="Manual",IF($A258=0,"&lt;-- defina o número do agrupador",OFFSET(EVENTOS!$D$14,$A258,0)),OFFSET($F$15,$A258,0)))</f>
        <v>(digite a descrição aqui)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188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10</v>
      </c>
      <c r="N259" s="212" t="str">
        <f ca="1">IF($D259&lt;&gt;"Serviço","",IF(AUTOEVENTO="Manual",IF($A259=0,"&lt;-- defina o número do agrupador",OFFSET(EVENTOS!$D$14,$A259,0)),OFFSET($F$15,$A259,0)))</f>
        <v>(digite a descrição aqui)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188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10</v>
      </c>
      <c r="N260" s="212" t="str">
        <f ca="1">IF($D260&lt;&gt;"Serviço","",IF(AUTOEVENTO="Manual",IF($A260=0,"&lt;-- defina o número do agrupador",OFFSET(EVENTOS!$D$14,$A260,0)),OFFSET($F$15,$A260,0)))</f>
        <v>(digite a descrição aqui)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188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10</v>
      </c>
      <c r="N261" s="212" t="str">
        <f ca="1">IF($D261&lt;&gt;"Serviço","",IF(AUTOEVENTO="Manual",IF($A261=0,"&lt;-- defina o número do agrupador",OFFSET(EVENTOS!$D$14,$A261,0)),OFFSET($F$15,$A261,0)))</f>
        <v>(digite a descrição aqui)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188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10</v>
      </c>
      <c r="N262" s="212" t="str">
        <f ca="1">IF($D262&lt;&gt;"Serviço","",IF(AUTOEVENTO="Manual",IF($A262=0,"&lt;-- defina o número do agrupador",OFFSET(EVENTOS!$D$14,$A262,0)),OFFSET($F$15,$A262,0)))</f>
        <v>(digite a descrição aqui)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188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10</v>
      </c>
      <c r="N263" s="212" t="str">
        <f ca="1">IF($D263&lt;&gt;"Serviço","",IF(AUTOEVENTO="Manual",IF($A263=0,"&lt;-- defina o número do agrupador",OFFSET(EVENTOS!$D$14,$A263,0)),OFFSET($F$15,$A263,0)))</f>
        <v>(digite a descrição aqui)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188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10</v>
      </c>
      <c r="N264" s="212" t="str">
        <f ca="1">IF($D264&lt;&gt;"Serviço","",IF(AUTOEVENTO="Manual",IF($A264=0,"&lt;-- defina o número do agrupador",OFFSET(EVENTOS!$D$14,$A264,0)),OFFSET($F$15,$A264,0)))</f>
        <v>(digite a descrição aqui)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188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10</v>
      </c>
      <c r="N265" s="212" t="str">
        <f ca="1">IF($D265&lt;&gt;"Serviço","",IF(AUTOEVENTO="Manual",IF($A265=0,"&lt;-- defina o número do agrupador",OFFSET(EVENTOS!$D$14,$A265,0)),OFFSET($F$15,$A265,0)))</f>
        <v>(digite a descrição aqui)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AZUL-PR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43788</v>
      </c>
      <c r="I273" s="604" t="str">
        <f ca="1"/>
        <v>CREA/CAU: 21735/D</v>
      </c>
      <c r="K273" s="97"/>
      <c r="L273" s="97"/>
      <c r="T273" s="604" t="str">
        <f ca="1"/>
        <v>CREA/CAU: 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tabSelected="1" zoomScale="90" zoomScaleNormal="90" zoomScaleSheetLayoutView="90" workbookViewId="0">
      <pane xSplit="19" ySplit="13" topLeftCell="T50" activePane="bottomRight" state="frozen"/>
      <selection activeCell="F4" sqref="F4"/>
      <selection pane="topRight" activeCell="T4" sqref="T4"/>
      <selection pane="bottomLeft" activeCell="F14" sqref="F14"/>
      <selection pane="bottomRight" activeCell="Y71" sqref="Y71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MUNICIPIO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Ampliação e adequação do  cemei Raio de Sol</v>
      </c>
      <c r="U8" s="720"/>
      <c r="V8" s="720"/>
      <c r="W8" s="720"/>
      <c r="X8" s="720"/>
      <c r="Y8" s="716" t="str">
        <f>IF(TIPOORCAMENTO="Licitado",Import.empresa,Import.DescLote)</f>
        <v>lotes 04 e 05 quadra 13 , bairro são cristovao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2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43831</v>
      </c>
      <c r="U13" s="284">
        <f ca="1">OFFSET(U13,0,-1)+41-DAY(OFFSET(U13,0,-1)+40)</f>
        <v>43862</v>
      </c>
      <c r="V13" s="284">
        <f ca="1">OFFSET(V13,0,-1)+41-DAY(OFFSET(V13,0,-1)+40)</f>
        <v>43891</v>
      </c>
      <c r="W13" s="284">
        <f t="shared" ref="W13:AE13" ca="1" si="2">OFFSET(W13,0,-1)+41-DAY(OFFSET(W13,0,-1)+40)</f>
        <v>43922</v>
      </c>
      <c r="X13" s="284">
        <f t="shared" ca="1" si="2"/>
        <v>43952</v>
      </c>
      <c r="Y13" s="284">
        <f t="shared" ca="1" si="2"/>
        <v>43983</v>
      </c>
      <c r="Z13" s="284">
        <f t="shared" ca="1" si="2"/>
        <v>44013</v>
      </c>
      <c r="AA13" s="284">
        <f t="shared" ca="1" si="2"/>
        <v>44044</v>
      </c>
      <c r="AB13" s="284">
        <f t="shared" ca="1" si="2"/>
        <v>44075</v>
      </c>
      <c r="AC13" s="284">
        <f t="shared" ca="1" si="2"/>
        <v>44105</v>
      </c>
      <c r="AD13" s="284">
        <f t="shared" ca="1" si="2"/>
        <v>44136</v>
      </c>
      <c r="AE13" s="289">
        <f t="shared" ca="1" si="2"/>
        <v>44166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serviços iniciais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5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5</v>
      </c>
      <c r="R14" s="248">
        <f ca="1">IF($E15=0,OFFSET(ORÇAMENTO!X$15,$E14,0),IF($E15&lt;&gt;-1,OFFSET(QCI!$O$13,$E15,0),""))</f>
        <v>2862.23</v>
      </c>
      <c r="S14" s="249" t="s">
        <v>269</v>
      </c>
      <c r="T14" s="250">
        <f t="shared" ref="T14:AE14" ca="1" si="3">IF(AND($Q14=2,ACOMPANHAMENTO="BM"),T15,T16/$R14)</f>
        <v>1</v>
      </c>
      <c r="U14" s="242">
        <f t="shared" ca="1" si="3"/>
        <v>0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2862.23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(digite a descrição aqui)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2</v>
      </c>
      <c r="N17" s="247">
        <f ca="1">IF($E18=-1,0,IF(N$13&lt;=$L17,IF(ISERROR(MATCH(N$13,OFFSET($L17,1,0,ROW($L$164)-ROW($L17)-1),0)),ROW($L$164)-ROW($L17)-1,MATCH(N$13,OFFSET($L17,1,0,ROW($L$164)-ROW($L17)-1),0)-1),0))</f>
        <v>5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2862.23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1</v>
      </c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2862.23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0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11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2.</v>
      </c>
      <c r="I20" s="245" t="str">
        <f ca="1">IF($E21=0,OFFSET(ORÇAMENTO!R$15,$E20,0),IF($E21&lt;&gt;-1,OFFSET(QCI!$G$13,$E21,0),""))</f>
        <v>piso</v>
      </c>
      <c r="J20" s="245"/>
      <c r="K20" s="245"/>
      <c r="L20" s="246">
        <f ca="1">IF($E21=0,OFFSET(ORÇAMENTO!C$15,$E20,0),1)</f>
        <v>1</v>
      </c>
      <c r="M20" s="247">
        <f ca="1">IF($E21=-1,0,IF(M$13&lt;=$L20,IF(ISERROR(MATCH(M$13,OFFSET($L20,1,0,ROW($L$164)-ROW($L20)-1),0)),ROW($L$164)-ROW($L20)-1,MATCH(M$13,OFFSET($L20,1,0,ROW($L$164)-ROW($L20)-1),0)-1),0))</f>
        <v>5</v>
      </c>
      <c r="N20" s="247">
        <f ca="1">IF($E21=-1,0,IF(N$13&lt;=$L20,IF(ISERROR(MATCH(N$13,OFFSET($L20,1,0,ROW($L$164)-ROW($L20)-1),0)),ROW($L$164)-ROW($L20)-1,MATCH(N$13,OFFSET($L20,1,0,ROW($L$164)-ROW($L20)-1),0)-1),0))</f>
        <v>0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5</v>
      </c>
      <c r="R20" s="248">
        <f ca="1">IF($E21=0,OFFSET(ORÇAMENTO!X$15,$E20,0),IF($E21&lt;&gt;-1,OFFSET(QCI!$O$13,$E21,0),""))</f>
        <v>17228.599999999999</v>
      </c>
      <c r="S20" s="249" t="s">
        <v>269</v>
      </c>
      <c r="T20" s="250">
        <f t="shared" ref="T20:AE20" ca="1" si="5">IF(AND($Q20=2,ACOMPANHAMENTO="BM"),T21,T22/$R20)</f>
        <v>0.5</v>
      </c>
      <c r="U20" s="242">
        <f t="shared" ca="1" si="5"/>
        <v>0.5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1$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8614.2999999999993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8614.2999999999993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12</v>
      </c>
      <c r="F23" s="239" t="str">
        <f ca="1">IF(AND($E24&lt;&gt;-1,$R23&gt;0),"F","")</f>
        <v>F</v>
      </c>
      <c r="G23" s="243">
        <f ca="1">IF(OR(R23=0,R23=""),"Linha",IF(AND(OR(ACOMPANHAMENTO="PLE",$Q23&lt;&gt;2),$E24=0),"Linha",1-SUM(T23:AF23)))</f>
        <v>0</v>
      </c>
      <c r="H23" s="244" t="str">
        <f ca="1">IF($E24=0,OFFSET(ORÇAMENTO!O$15,$E23,0),IF($E24&lt;&gt;-1,OFFSET(QCI!$D$13,$E24,0),""))</f>
        <v>2.1.</v>
      </c>
      <c r="I23" s="245" t="str">
        <f ca="1">IF($E24=0,OFFSET(ORÇAMENTO!R$15,$E23,0),IF($E24&lt;&gt;-1,OFFSET(QCI!$G$13,$E24,0),""))</f>
        <v>(digite a descrição aqui)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2</v>
      </c>
      <c r="N23" s="247">
        <f ca="1">IF($E24=-1,0,IF(N$13&lt;=$L23,IF(ISERROR(MATCH(N$13,OFFSET($L23,1,0,ROW($L$164)-ROW($L23)-1),0)),ROW($L$164)-ROW($L23)-1,MATCH(N$13,OFFSET($L23,1,0,ROW($L$164)-ROW($L23)-1),0)-1),0))</f>
        <v>5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17228.599999999999</v>
      </c>
      <c r="S23" s="249" t="s">
        <v>269</v>
      </c>
      <c r="T23" s="250">
        <f t="shared" ref="T23:AE23" ca="1" si="6">IF(AND($Q23=2,ACOMPANHAMENTO="BM"),T24,T25/$R23)</f>
        <v>0.5</v>
      </c>
      <c r="U23" s="242">
        <f t="shared" ca="1" si="6"/>
        <v>0.5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--&gt;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>
        <v>0.5</v>
      </c>
      <c r="U24" s="620">
        <v>0.5</v>
      </c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8614.2999999999993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8614.2999999999993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0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21</v>
      </c>
      <c r="F26" s="239" t="str">
        <f ca="1">IF(AND($E27&lt;&gt;-1,$R26&gt;0),"F","")</f>
        <v>F</v>
      </c>
      <c r="G26" s="243" t="str">
        <f ca="1">IF(OR(R26=0,R26=""),"Linha",IF(AND(OR(ACOMPANHAMENTO="PLE",$Q26&lt;&gt;2),$E27=0),"Linha",1-SUM(T26:AF26)))</f>
        <v>Linha</v>
      </c>
      <c r="H26" s="244" t="str">
        <f ca="1">IF($E27=0,OFFSET(ORÇAMENTO!O$15,$E26,0),IF($E27&lt;&gt;-1,OFFSET(QCI!$D$13,$E27,0),""))</f>
        <v>3.</v>
      </c>
      <c r="I26" s="245" t="str">
        <f ca="1">IF($E27=0,OFFSET(ORÇAMENTO!R$15,$E26,0),IF($E27&lt;&gt;-1,OFFSET(QCI!$G$13,$E27,0),""))</f>
        <v>demolições e retiradas</v>
      </c>
      <c r="J26" s="245"/>
      <c r="K26" s="245"/>
      <c r="L26" s="246">
        <f ca="1">IF($E27=0,OFFSET(ORÇAMENTO!C$15,$E26,0),1)</f>
        <v>1</v>
      </c>
      <c r="M26" s="247">
        <f ca="1">IF($E27=-1,0,IF(M$13&lt;=$L26,IF(ISERROR(MATCH(M$13,OFFSET($L26,1,0,ROW($L$164)-ROW($L26)-1),0)),ROW($L$164)-ROW($L26)-1,MATCH(M$13,OFFSET($L26,1,0,ROW($L$164)-ROW($L26)-1),0)-1),0))</f>
        <v>5</v>
      </c>
      <c r="N26" s="247">
        <f ca="1">IF($E27=-1,0,IF(N$13&lt;=$L26,IF(ISERROR(MATCH(N$13,OFFSET($L26,1,0,ROW($L$164)-ROW($L26)-1),0)),ROW($L$164)-ROW($L26)-1,MATCH(N$13,OFFSET($L26,1,0,ROW($L$164)-ROW($L26)-1),0)-1),0))</f>
        <v>0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5</v>
      </c>
      <c r="R26" s="248">
        <f ca="1">IF($E27=0,OFFSET(ORÇAMENTO!X$15,$E26,0),IF($E27&lt;&gt;-1,OFFSET(QCI!$O$13,$E27,0),""))</f>
        <v>13417.68</v>
      </c>
      <c r="S26" s="249" t="s">
        <v>269</v>
      </c>
      <c r="T26" s="250">
        <f t="shared" ref="T26:AE26" ca="1" si="7">IF(AND($Q26=2,ACOMPANHAMENTO="BM"),T27,T28/$R26)</f>
        <v>1</v>
      </c>
      <c r="U26" s="242">
        <f t="shared" ca="1" si="7"/>
        <v>0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calculada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1$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13417.68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22</v>
      </c>
      <c r="F29" s="239" t="str">
        <f ca="1">IF(AND($E30&lt;&gt;-1,$R29&gt;0),"F","")</f>
        <v>F</v>
      </c>
      <c r="G29" s="243">
        <f ca="1">IF(OR(R29=0,R29=""),"Linha",IF(AND(OR(ACOMPANHAMENTO="PLE",$Q29&lt;&gt;2),$E30=0),"Linha",1-SUM(T29:AF29)))</f>
        <v>0</v>
      </c>
      <c r="H29" s="244" t="str">
        <f ca="1">IF($E30=0,OFFSET(ORÇAMENTO!O$15,$E29,0),IF($E30&lt;&gt;-1,OFFSET(QCI!$D$13,$E30,0),""))</f>
        <v>3.1.</v>
      </c>
      <c r="I29" s="245" t="str">
        <f ca="1">IF($E30=0,OFFSET(ORÇAMENTO!R$15,$E29,0),IF($E30&lt;&gt;-1,OFFSET(QCI!$G$13,$E30,0),""))</f>
        <v>(digite a descrição aqui)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5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13417.68</v>
      </c>
      <c r="S29" s="249" t="s">
        <v>269</v>
      </c>
      <c r="T29" s="250">
        <f t="shared" ref="T29:AE29" ca="1" si="8">IF(AND($Q29=2,ACOMPANHAMENTO="BM"),T30,T31/$R29)</f>
        <v>1</v>
      </c>
      <c r="U29" s="242">
        <f t="shared" ca="1" si="8"/>
        <v>0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--&gt;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>
        <v>1</v>
      </c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13417.68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0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37</v>
      </c>
      <c r="F32" s="239" t="str">
        <f ca="1">IF(AND($E33&lt;&gt;-1,$R32&gt;0),"F","")</f>
        <v>F</v>
      </c>
      <c r="G32" s="243" t="str">
        <f ca="1">IF(OR(R32=0,R32=""),"Linha",IF(AND(OR(ACOMPANHAMENTO="PLE",$Q32&lt;&gt;2),$E33=0),"Linha",1-SUM(T32:AF32)))</f>
        <v>Linha</v>
      </c>
      <c r="H32" s="244" t="str">
        <f ca="1">IF($E33=0,OFFSET(ORÇAMENTO!O$15,$E32,0),IF($E33&lt;&gt;-1,OFFSET(QCI!$D$13,$E33,0),""))</f>
        <v>4.</v>
      </c>
      <c r="I32" s="245" t="str">
        <f ca="1">IF($E33=0,OFFSET(ORÇAMENTO!R$15,$E32,0),IF($E33&lt;&gt;-1,OFFSET(QCI!$G$13,$E33,0),""))</f>
        <v>ESQUADRIAS</v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5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5</v>
      </c>
      <c r="R32" s="248">
        <f ca="1">IF($E33=0,OFFSET(ORÇAMENTO!X$15,$E32,0),IF($E33&lt;&gt;-1,OFFSET(QCI!$O$13,$E33,0),""))</f>
        <v>40008.07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0.5</v>
      </c>
      <c r="V32" s="242">
        <f t="shared" ca="1" si="9"/>
        <v>0.5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calculada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20004.035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20004.035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38</v>
      </c>
      <c r="F35" s="239" t="str">
        <f ca="1">IF(AND($E36&lt;&gt;-1,$R35&gt;0),"F","")</f>
        <v>F</v>
      </c>
      <c r="G35" s="243">
        <f ca="1">IF(OR(R35=0,R35=""),"Linha",IF(AND(OR(ACOMPANHAMENTO="PLE",$Q35&lt;&gt;2),$E36=0),"Linha",1-SUM(T35:AF35)))</f>
        <v>0</v>
      </c>
      <c r="H35" s="244" t="str">
        <f ca="1">IF($E36=0,OFFSET(ORÇAMENTO!O$15,$E35,0),IF($E36&lt;&gt;-1,OFFSET(QCI!$D$13,$E36,0),""))</f>
        <v>4.1.</v>
      </c>
      <c r="I35" s="245" t="str">
        <f ca="1">IF($E36=0,OFFSET(ORÇAMENTO!R$15,$E35,0),IF($E36&lt;&gt;-1,OFFSET(QCI!$G$13,$E36,0),""))</f>
        <v>(digite a descrição aqui)</v>
      </c>
      <c r="J35" s="245"/>
      <c r="K35" s="245"/>
      <c r="L35" s="246">
        <f ca="1">IF($E36=0,OFFSET(ORÇAMENTO!C$15,$E35,0),1)</f>
        <v>2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5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40008.07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0.5</v>
      </c>
      <c r="V35" s="242">
        <f t="shared" ca="1" si="10"/>
        <v>0.5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--&gt;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>
        <v>0.5</v>
      </c>
      <c r="V36" s="620">
        <v>0.5</v>
      </c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2$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20004.035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20004.035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0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47</v>
      </c>
      <c r="F38" s="239" t="str">
        <f ca="1">IF(AND($E39&lt;&gt;-1,$R38&gt;0),"F","")</f>
        <v>F</v>
      </c>
      <c r="G38" s="243" t="str">
        <f ca="1">IF(OR(R38=0,R38=""),"Linha",IF(AND(OR(ACOMPANHAMENTO="PLE",$Q38&lt;&gt;2),$E39=0),"Linha",1-SUM(T38:AF38)))</f>
        <v>Linha</v>
      </c>
      <c r="H38" s="244" t="str">
        <f ca="1">IF($E39=0,OFFSET(ORÇAMENTO!O$15,$E38,0),IF($E39&lt;&gt;-1,OFFSET(QCI!$D$13,$E39,0),""))</f>
        <v>5.</v>
      </c>
      <c r="I38" s="245" t="str">
        <f ca="1">IF($E39=0,OFFSET(ORÇAMENTO!R$15,$E38,0),IF($E39&lt;&gt;-1,OFFSET(QCI!$G$13,$E39,0),""))</f>
        <v>fundações rasas, viga baldrame, pilares, vigas e paredes</v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5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5</v>
      </c>
      <c r="R38" s="248">
        <f ca="1">IF($E39=0,OFFSET(ORÇAMENTO!X$15,$E38,0),IF($E39&lt;&gt;-1,OFFSET(QCI!$O$13,$E39,0),""))</f>
        <v>73742.69</v>
      </c>
      <c r="S38" s="249" t="s">
        <v>269</v>
      </c>
      <c r="T38" s="250">
        <f t="shared" ref="T38:AE38" ca="1" si="11">IF(AND($Q38=2,ACOMPANHAMENTO="BM"),T39,T40/$R38)</f>
        <v>0.5</v>
      </c>
      <c r="U38" s="242">
        <f t="shared" ca="1" si="11"/>
        <v>0.5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calculada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36871.345000000001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36871.345000000001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48</v>
      </c>
      <c r="F41" s="239" t="str">
        <f ca="1">IF(AND($E42&lt;&gt;-1,$R41&gt;0),"F","")</f>
        <v>F</v>
      </c>
      <c r="G41" s="243">
        <f ca="1">IF(OR(R41=0,R41=""),"Linha",IF(AND(OR(ACOMPANHAMENTO="PLE",$Q41&lt;&gt;2),$E42=0),"Linha",1-SUM(T41:AF41)))</f>
        <v>0</v>
      </c>
      <c r="H41" s="244" t="str">
        <f ca="1">IF($E42=0,OFFSET(ORÇAMENTO!O$15,$E41,0),IF($E42&lt;&gt;-1,OFFSET(QCI!$D$13,$E42,0),""))</f>
        <v>5.1.</v>
      </c>
      <c r="I41" s="245" t="str">
        <f ca="1">IF($E42=0,OFFSET(ORÇAMENTO!R$15,$E41,0),IF($E42&lt;&gt;-1,OFFSET(QCI!$G$13,$E42,0),""))</f>
        <v>(digite a descrição aqui)</v>
      </c>
      <c r="J41" s="245"/>
      <c r="K41" s="245"/>
      <c r="L41" s="246">
        <f ca="1">IF($E42=0,OFFSET(ORÇAMENTO!C$15,$E41,0),1)</f>
        <v>2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5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73742.69</v>
      </c>
      <c r="S41" s="249" t="s">
        <v>269</v>
      </c>
      <c r="T41" s="250">
        <f t="shared" ref="T41:AE41" ca="1" si="12">IF(AND($Q41=2,ACOMPANHAMENTO="BM"),T42,T43/$R41)</f>
        <v>0.5</v>
      </c>
      <c r="U41" s="242">
        <f t="shared" ca="1" si="12"/>
        <v>0.5</v>
      </c>
      <c r="V41" s="242">
        <f t="shared" ca="1" si="12"/>
        <v>0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--&gt;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>
        <v>0.5</v>
      </c>
      <c r="U42" s="620">
        <v>0.5</v>
      </c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2$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36871.345000000001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36871.345000000001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0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137</v>
      </c>
      <c r="F44" s="239" t="str">
        <f ca="1">IF(AND($E45&lt;&gt;-1,$R44&gt;0),"F","")</f>
        <v>F</v>
      </c>
      <c r="G44" s="243" t="str">
        <f ca="1">IF(OR(R44=0,R44=""),"Linha",IF(AND(OR(ACOMPANHAMENTO="PLE",$Q44&lt;&gt;2),$E45=0),"Linha",1-SUM(T44:AF44)))</f>
        <v>Linha</v>
      </c>
      <c r="H44" s="244" t="str">
        <f ca="1">IF($E45=0,OFFSET(ORÇAMENTO!O$15,$E44,0),IF($E45&lt;&gt;-1,OFFSET(QCI!$D$13,$E45,0),""))</f>
        <v>6.</v>
      </c>
      <c r="I44" s="245" t="str">
        <f ca="1">IF($E45=0,OFFSET(ORÇAMENTO!R$15,$E44,0),IF($E45&lt;&gt;-1,OFFSET(QCI!$G$13,$E45,0),""))</f>
        <v>coberturas</v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5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5</v>
      </c>
      <c r="R44" s="248">
        <f ca="1">IF($E45=0,OFFSET(ORÇAMENTO!X$15,$E44,0),IF($E45&lt;&gt;-1,OFFSET(QCI!$O$13,$E45,0),""))</f>
        <v>15387.3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</v>
      </c>
      <c r="V44" s="242">
        <f t="shared" ca="1" si="13"/>
        <v>1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calculada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15387.3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0</v>
      </c>
      <c r="D47" s="242">
        <f ca="1">IF(AND($Q47=2,ACOMPANHAMENTO="BM"),D48,D49/$R47)</f>
        <v>0</v>
      </c>
      <c r="E47" s="239">
        <f ca="1">IF(A47&lt;=ORÇAMENTO.MáximoListaCrono,MATCH(A47,ORÇAMENTO.ListaCrono,0),NA())</f>
        <v>138</v>
      </c>
      <c r="F47" s="239" t="str">
        <f ca="1">IF(AND($E48&lt;&gt;-1,$R47&gt;0),"F","")</f>
        <v>F</v>
      </c>
      <c r="G47" s="243">
        <f ca="1">IF(OR(R47=0,R47=""),"Linha",IF(AND(OR(ACOMPANHAMENTO="PLE",$Q47&lt;&gt;2),$E48=0),"Linha",1-SUM(T47:AF47)))</f>
        <v>0</v>
      </c>
      <c r="H47" s="244" t="str">
        <f ca="1">IF($E48=0,OFFSET(ORÇAMENTO!O$15,$E47,0),IF($E48&lt;&gt;-1,OFFSET(QCI!$D$13,$E48,0),""))</f>
        <v>6.1.</v>
      </c>
      <c r="I47" s="245" t="str">
        <f ca="1">IF($E48=0,OFFSET(ORÇAMENTO!R$15,$E47,0),IF($E48&lt;&gt;-1,OFFSET(QCI!$G$13,$E48,0),""))</f>
        <v>(digite a descrição aqui)</v>
      </c>
      <c r="J47" s="245"/>
      <c r="K47" s="245"/>
      <c r="L47" s="246">
        <f ca="1">IF($E48=0,OFFSET(ORÇAMENTO!C$15,$E47,0),1)</f>
        <v>2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5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15387.3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1</v>
      </c>
      <c r="W47" s="242">
        <f t="shared" ca="1" si="14"/>
        <v>0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customHeight="1" x14ac:dyDescent="0.2">
      <c r="D48" s="620"/>
      <c r="E48" s="239">
        <f ca="1">IF(ISERROR(E47),IF(1+COUNTIF($L$13:OFFSET(L47,-1,0),1)&lt;=MAX(QCI!$D$13:$D$24),1+COUNTIF($L$13:OFFSET(L47,-1,0),1),-1),0)</f>
        <v>0</v>
      </c>
      <c r="F48" s="239" t="str">
        <f ca="1">IF(AND($E48&lt;&gt;-1,$R47&gt;0),"F","")</f>
        <v>F</v>
      </c>
      <c r="G48" s="252" t="str">
        <f ca="1">IF(OR(R47=0,R47=""),"vazia",IF(AND(OR(ACOMPANHAMENTO="PLE",$Q47&lt;&gt;2),$E48=0),"calculada","--&gt;"))</f>
        <v>--&gt;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>
        <v>1</v>
      </c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2$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15387.3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0</v>
      </c>
      <c r="C50" s="239">
        <f ca="1">IF($Q50&lt;&gt;2,0,IF($R50=0,1,IF(E51&gt;0,OFFSET(QCI!$N$13,SUBSTITUTE(E51,".",""),0),OFFSET(ORÇAMENTO!$AB$15,CRONO!$E50,0))/$R50))</f>
        <v>0</v>
      </c>
      <c r="D50" s="242">
        <f ca="1">IF(AND($Q50=2,ACOMPANHAMENTO="BM"),D51,D52/$R50)</f>
        <v>0</v>
      </c>
      <c r="E50" s="239">
        <f ca="1">IF(A50&lt;=ORÇAMENTO.MáximoListaCrono,MATCH(A50,ORÇAMENTO.ListaCrono,0),NA())</f>
        <v>153</v>
      </c>
      <c r="F50" s="239" t="str">
        <f ca="1">IF(AND($E51&lt;&gt;-1,$R50&gt;0),"F","")</f>
        <v>F</v>
      </c>
      <c r="G50" s="243" t="str">
        <f ca="1">IF(OR(R50=0,R50=""),"Linha",IF(AND(OR(ACOMPANHAMENTO="PLE",$Q50&lt;&gt;2),$E51=0),"Linha",1-SUM(T50:AF50)))</f>
        <v>Linha</v>
      </c>
      <c r="H50" s="244" t="str">
        <f ca="1">IF($E51=0,OFFSET(ORÇAMENTO!O$15,$E50,0),IF($E51&lt;&gt;-1,OFFSET(QCI!$D$13,$E51,0),""))</f>
        <v>7.</v>
      </c>
      <c r="I50" s="245" t="str">
        <f ca="1">IF($E51=0,OFFSET(ORÇAMENTO!R$15,$E50,0),IF($E51&lt;&gt;-1,OFFSET(QCI!$G$13,$E51,0),""))</f>
        <v>HIDRAULICO</v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5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5</v>
      </c>
      <c r="R50" s="248">
        <f ca="1">IF($E51=0,OFFSET(ORÇAMENTO!X$15,$E50,0),IF($E51&lt;&gt;-1,OFFSET(QCI!$O$13,$E51,0),""))</f>
        <v>6036.03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0.5</v>
      </c>
      <c r="V50" s="242">
        <f t="shared" ca="1" si="15"/>
        <v>0.5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customHeight="1" x14ac:dyDescent="0.2">
      <c r="D51" s="620"/>
      <c r="E51" s="239">
        <f ca="1">IF(ISERROR(E50),IF(1+COUNTIF($L$13:OFFSET(L50,-1,0),1)&lt;=MAX(QCI!$D$13:$D$24),1+COUNTIF($L$13:OFFSET(L50,-1,0),1),-1),0)</f>
        <v>0</v>
      </c>
      <c r="F51" s="239" t="str">
        <f ca="1">IF(AND($E51&lt;&gt;-1,$R50&gt;0),"F","")</f>
        <v>F</v>
      </c>
      <c r="G51" s="252" t="str">
        <f ca="1">IF(OR(R50=0,R50=""),"vazia",IF(AND(OR(ACOMPANHAMENTO="PLE",$Q50&lt;&gt;2),$E51=0),"calculada","--&gt;"))</f>
        <v>calculada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3018.0149999999999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3018.0149999999999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1.0000000000000002</v>
      </c>
      <c r="C53" s="239">
        <f ca="1">IF($Q53&lt;&gt;2,0,IF($R53=0,1,IF(E54&gt;0,OFFSET(QCI!$N$13,SUBSTITUTE(E54,".",""),0),OFFSET(ORÇAMENTO!$AB$15,CRONO!$E53,0))/$R53))</f>
        <v>0</v>
      </c>
      <c r="D53" s="242">
        <f ca="1">IF(AND($Q53=2,ACOMPANHAMENTO="BM"),D54,D55/$R53)</f>
        <v>0</v>
      </c>
      <c r="E53" s="239">
        <f ca="1">IF(A53&lt;=ORÇAMENTO.MáximoListaCrono,MATCH(A53,ORÇAMENTO.ListaCrono,0),NA())</f>
        <v>154</v>
      </c>
      <c r="F53" s="239" t="str">
        <f ca="1">IF(AND($E54&lt;&gt;-1,$R53&gt;0),"F","")</f>
        <v>F</v>
      </c>
      <c r="G53" s="243">
        <f ca="1">IF(OR(R53=0,R53=""),"Linha",IF(AND(OR(ACOMPANHAMENTO="PLE",$Q53&lt;&gt;2),$E54=0),"Linha",1-SUM(T53:AF53)))</f>
        <v>0</v>
      </c>
      <c r="H53" s="244" t="str">
        <f ca="1">IF($E54=0,OFFSET(ORÇAMENTO!O$15,$E53,0),IF($E54&lt;&gt;-1,OFFSET(QCI!$D$13,$E54,0),""))</f>
        <v>7.1.</v>
      </c>
      <c r="I53" s="245" t="str">
        <f ca="1">IF($E54=0,OFFSET(ORÇAMENTO!R$15,$E53,0),IF($E54&lt;&gt;-1,OFFSET(QCI!$G$13,$E54,0),""))</f>
        <v>(digite a descrição aqui)</v>
      </c>
      <c r="J53" s="245"/>
      <c r="K53" s="245"/>
      <c r="L53" s="246">
        <f ca="1">IF($E54=0,OFFSET(ORÇAMENTO!C$15,$E53,0),1)</f>
        <v>2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5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6036.03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0.5</v>
      </c>
      <c r="V53" s="242">
        <f t="shared" ca="1" si="16"/>
        <v>0.5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customHeight="1" x14ac:dyDescent="0.2">
      <c r="D54" s="620"/>
      <c r="E54" s="239">
        <f ca="1">IF(ISERROR(E53),IF(1+COUNTIF($L$13:OFFSET(L53,-1,0),1)&lt;=MAX(QCI!$D$13:$D$24),1+COUNTIF($L$13:OFFSET(L53,-1,0),1),-1),0)</f>
        <v>0</v>
      </c>
      <c r="F54" s="239" t="str">
        <f ca="1">IF(AND($E54&lt;&gt;-1,$R53&gt;0),"F","")</f>
        <v>F</v>
      </c>
      <c r="G54" s="252" t="str">
        <f ca="1">IF(OR(R53=0,R53=""),"vazia",IF(AND(OR(ACOMPANHAMENTO="PLE",$Q53&lt;&gt;2),$E54=0),"calculada","--&gt;"))</f>
        <v>--&gt;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>
        <v>0.5</v>
      </c>
      <c r="V54" s="620">
        <v>0.5</v>
      </c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2$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3018.0149999999999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3018.0149999999999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>
        <f ca="1">IF(AND($Q56=2,ACOMPANHAMENTO="BM"),D57,D58/$R56)</f>
        <v>0</v>
      </c>
      <c r="E56" s="239">
        <f ca="1">IF(A56&lt;=ORÇAMENTO.MáximoListaCrono,MATCH(A56,ORÇAMENTO.ListaCrono,0),NA())</f>
        <v>171</v>
      </c>
      <c r="F56" s="239" t="str">
        <f ca="1">IF(AND($E57&lt;&gt;-1,$R56&gt;0),"F","")</f>
        <v>F</v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>8.</v>
      </c>
      <c r="I56" s="245" t="str">
        <f ca="1">IF($E57=0,OFFSET(ORÇAMENTO!R$15,$E56,0),IF($E57&lt;&gt;-1,OFFSET(QCI!$G$13,$E57,0),""))</f>
        <v>ELETRICO</v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5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5</v>
      </c>
      <c r="R56" s="248">
        <f ca="1">IF($E57=0,OFFSET(ORÇAMENTO!X$15,$E56,0),IF($E57&lt;&gt;-1,OFFSET(QCI!$O$13,$E57,0),""))</f>
        <v>12629.54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0.5</v>
      </c>
      <c r="V56" s="242">
        <f t="shared" ca="1" si="17"/>
        <v>0.5</v>
      </c>
      <c r="W56" s="242">
        <f t="shared" ca="1" si="17"/>
        <v>0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customHeight="1" x14ac:dyDescent="0.2">
      <c r="D57" s="620"/>
      <c r="E57" s="239">
        <f ca="1">IF(ISERROR(E56),IF(1+COUNTIF($L$13:OFFSET(L56,-1,0),1)&lt;=MAX(QCI!$D$13:$D$24),1+COUNTIF($L$13:OFFSET(L56,-1,0),1),-1),0)</f>
        <v>0</v>
      </c>
      <c r="F57" s="239" t="str">
        <f ca="1">IF(AND($E57&lt;&gt;-1,$R56&gt;0),"F","")</f>
        <v>F</v>
      </c>
      <c r="G57" s="252" t="str">
        <f ca="1">IF(OR(R56=0,R56=""),"vazia",IF(AND(OR(ACOMPANHAMENTO="PLE",$Q56&lt;&gt;2),$E57=0),"calculada","--&gt;"))</f>
        <v>calculada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6314.77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6314.77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0.99999999999999989</v>
      </c>
      <c r="C59" s="239">
        <f ca="1">IF($Q59&lt;&gt;2,0,IF($R59=0,1,IF(E60&gt;0,OFFSET(QCI!$N$13,SUBSTITUTE(E60,".",""),0),OFFSET(ORÇAMENTO!$AB$15,CRONO!$E59,0))/$R59))</f>
        <v>0</v>
      </c>
      <c r="D59" s="242">
        <f ca="1">IF(AND($Q59=2,ACOMPANHAMENTO="BM"),D60,D61/$R59)</f>
        <v>0</v>
      </c>
      <c r="E59" s="239">
        <f ca="1">IF(A59&lt;=ORÇAMENTO.MáximoListaCrono,MATCH(A59,ORÇAMENTO.ListaCrono,0),NA())</f>
        <v>172</v>
      </c>
      <c r="F59" s="239" t="str">
        <f ca="1">IF(AND($E60&lt;&gt;-1,$R59&gt;0),"F","")</f>
        <v>F</v>
      </c>
      <c r="G59" s="243">
        <f ca="1">IF(OR(R59=0,R59=""),"Linha",IF(AND(OR(ACOMPANHAMENTO="PLE",$Q59&lt;&gt;2),$E60=0),"Linha",1-SUM(T59:AF59)))</f>
        <v>0</v>
      </c>
      <c r="H59" s="244" t="str">
        <f ca="1">IF($E60=0,OFFSET(ORÇAMENTO!O$15,$E59,0),IF($E60&lt;&gt;-1,OFFSET(QCI!$D$13,$E60,0),""))</f>
        <v>8.1.</v>
      </c>
      <c r="I59" s="245" t="str">
        <f ca="1">IF($E60=0,OFFSET(ORÇAMENTO!R$15,$E59,0),IF($E60&lt;&gt;-1,OFFSET(QCI!$G$13,$E60,0),""))</f>
        <v>(digite a descrição aqui)</v>
      </c>
      <c r="J59" s="245"/>
      <c r="K59" s="245"/>
      <c r="L59" s="246">
        <f ca="1">IF($E60=0,OFFSET(ORÇAMENTO!C$15,$E59,0),1)</f>
        <v>2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5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12629.54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0.5</v>
      </c>
      <c r="V59" s="242">
        <f t="shared" ca="1" si="18"/>
        <v>0.5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customHeight="1" x14ac:dyDescent="0.2">
      <c r="D60" s="620"/>
      <c r="E60" s="239">
        <f ca="1">IF(ISERROR(E59),IF(1+COUNTIF($L$13:OFFSET(L59,-1,0),1)&lt;=MAX(QCI!$D$13:$D$24),1+COUNTIF($L$13:OFFSET(L59,-1,0),1),-1),0)</f>
        <v>0</v>
      </c>
      <c r="F60" s="239" t="str">
        <f ca="1">IF(AND($E60&lt;&gt;-1,$R59&gt;0),"F","")</f>
        <v>F</v>
      </c>
      <c r="G60" s="252" t="str">
        <f ca="1">IF(OR(R59=0,R59=""),"vazia",IF(AND(OR(ACOMPANHAMENTO="PLE",$Q59&lt;&gt;2),$E60=0),"calculada","--&gt;"))</f>
        <v>--&gt;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>
        <v>0.5</v>
      </c>
      <c r="V60" s="620">
        <v>0.5</v>
      </c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2$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6314.77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6314.77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>
        <f ca="1">IF(AND($Q62=2,ACOMPANHAMENTO="BM"),D63,D64/$R62)</f>
        <v>0</v>
      </c>
      <c r="E62" s="239">
        <f ca="1">IF(A62&lt;=ORÇAMENTO.MáximoListaCrono,MATCH(A62,ORÇAMENTO.ListaCrono,0),NA())</f>
        <v>187</v>
      </c>
      <c r="F62" s="239" t="str">
        <f ca="1">IF(AND($E63&lt;&gt;-1,$R62&gt;0),"F","")</f>
        <v>F</v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>9.</v>
      </c>
      <c r="I62" s="245" t="str">
        <f ca="1">IF($E63=0,OFFSET(ORÇAMENTO!R$15,$E62,0),IF($E63&lt;&gt;-1,OFFSET(QCI!$G$13,$E63,0),""))</f>
        <v>SERVIÇOS FINAIS</v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5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5</v>
      </c>
      <c r="R62" s="248">
        <f ca="1">IF($E63=0,OFFSET(ORÇAMENTO!X$15,$E62,0),IF($E63&lt;&gt;-1,OFFSET(QCI!$O$13,$E63,0),""))</f>
        <v>1910.25</v>
      </c>
      <c r="S62" s="249" t="s">
        <v>269</v>
      </c>
      <c r="T62" s="250">
        <f t="shared" ref="T62:AE62" ca="1" si="19">IF(AND($Q62=2,ACOMPANHAMENTO="BM"),T63,T64/$R62)</f>
        <v>0</v>
      </c>
      <c r="U62" s="242">
        <f t="shared" ca="1" si="19"/>
        <v>0</v>
      </c>
      <c r="V62" s="242">
        <f t="shared" ca="1" si="19"/>
        <v>1</v>
      </c>
      <c r="W62" s="242">
        <f t="shared" ca="1" si="19"/>
        <v>0</v>
      </c>
      <c r="X62" s="242">
        <f t="shared" ca="1" si="19"/>
        <v>0</v>
      </c>
      <c r="Y62" s="242">
        <f t="shared" ca="1" si="19"/>
        <v>0</v>
      </c>
      <c r="Z62" s="242">
        <f t="shared" ca="1" si="19"/>
        <v>0</v>
      </c>
      <c r="AA62" s="242">
        <f t="shared" ca="1" si="19"/>
        <v>0</v>
      </c>
      <c r="AB62" s="242">
        <f t="shared" ca="1" si="19"/>
        <v>0</v>
      </c>
      <c r="AC62" s="242">
        <f t="shared" ca="1" si="19"/>
        <v>0</v>
      </c>
      <c r="AD62" s="242">
        <f t="shared" ca="1" si="19"/>
        <v>0</v>
      </c>
      <c r="AE62" s="251">
        <f t="shared" ca="1" si="19"/>
        <v>0</v>
      </c>
    </row>
    <row r="63" spans="1:32" ht="12.75" customHeight="1" x14ac:dyDescent="0.2">
      <c r="D63" s="620"/>
      <c r="E63" s="239">
        <f ca="1">IF(ISERROR(E62),IF(1+COUNTIF($L$13:OFFSET(L62,-1,0),1)&lt;=MAX(QCI!$D$13:$D$24),1+COUNTIF($L$13:OFFSET(L62,-1,0),1),-1),0)</f>
        <v>0</v>
      </c>
      <c r="F63" s="239" t="str">
        <f ca="1">IF(AND($E63&lt;&gt;-1,$R62&gt;0),"F","")</f>
        <v>F</v>
      </c>
      <c r="G63" s="252" t="str">
        <f ca="1">IF(OR(R62=0,R62=""),"vazia",IF(AND(OR(ACOMPANHAMENTO="PLE",$Q62&lt;&gt;2),$E63=0),"calculada","--&gt;"))</f>
        <v>calculada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1910.25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1</v>
      </c>
      <c r="C65" s="239">
        <f ca="1">IF($Q65&lt;&gt;2,0,IF($R65=0,1,IF(E66&gt;0,OFFSET(QCI!$N$13,SUBSTITUTE(E66,".",""),0),OFFSET(ORÇAMENTO!$AB$15,CRONO!$E65,0))/$R65))</f>
        <v>0</v>
      </c>
      <c r="D65" s="242">
        <f ca="1">IF(AND($Q65=2,ACOMPANHAMENTO="BM"),D66,D67/$R65)</f>
        <v>0</v>
      </c>
      <c r="E65" s="239">
        <f ca="1">IF(A65&lt;=ORÇAMENTO.MáximoListaCrono,MATCH(A65,ORÇAMENTO.ListaCrono,0),NA())</f>
        <v>188</v>
      </c>
      <c r="F65" s="239" t="str">
        <f ca="1">IF(AND($E66&lt;&gt;-1,$R65&gt;0),"F","")</f>
        <v>F</v>
      </c>
      <c r="G65" s="243">
        <f ca="1">IF(OR(R65=0,R65=""),"Linha",IF(AND(OR(ACOMPANHAMENTO="PLE",$Q65&lt;&gt;2),$E66=0),"Linha",1-SUM(T65:AF65)))</f>
        <v>0</v>
      </c>
      <c r="H65" s="244" t="str">
        <f ca="1">IF($E66=0,OFFSET(ORÇAMENTO!O$15,$E65,0),IF($E66&lt;&gt;-1,OFFSET(QCI!$D$13,$E66,0),""))</f>
        <v>9.1.</v>
      </c>
      <c r="I65" s="245" t="str">
        <f ca="1">IF($E66=0,OFFSET(ORÇAMENTO!R$15,$E65,0),IF($E66&lt;&gt;-1,OFFSET(QCI!$G$13,$E66,0),""))</f>
        <v>(digite a descrição aqui)</v>
      </c>
      <c r="J65" s="245"/>
      <c r="K65" s="245"/>
      <c r="L65" s="246">
        <f ca="1">IF($E66=0,OFFSET(ORÇAMENTO!C$15,$E65,0),1)</f>
        <v>2</v>
      </c>
      <c r="M65" s="247">
        <f ca="1">IF($E66=-1,0,IF(M$13&lt;=$L65,IF(ISERROR(MATCH(M$13,OFFSET($L65,1,0,ROW($L$164)-ROW($L65)-1),0)),ROW($L$164)-ROW($L65)-1,MATCH(M$13,OFFSET($L65,1,0,ROW($L$164)-ROW($L65)-1),0)-1),0))</f>
        <v>2</v>
      </c>
      <c r="N65" s="247">
        <f ca="1">IF($E66=-1,0,IF(N$13&lt;=$L65,IF(ISERROR(MATCH(N$13,OFFSET($L65,1,0,ROW($L$164)-ROW($L65)-1),0)),ROW($L$164)-ROW($L65)-1,MATCH(N$13,OFFSET($L65,1,0,ROW($L$164)-ROW($L65)-1),0)-1),0))</f>
        <v>98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2</v>
      </c>
      <c r="R65" s="248">
        <f ca="1">IF($E66=0,OFFSET(ORÇAMENTO!X$15,$E65,0),IF($E66&lt;&gt;-1,OFFSET(QCI!$O$13,$E66,0),""))</f>
        <v>1910.25</v>
      </c>
      <c r="S65" s="249" t="s">
        <v>269</v>
      </c>
      <c r="T65" s="250">
        <f t="shared" ref="T65:AE65" ca="1" si="20">IF(AND($Q65=2,ACOMPANHAMENTO="BM"),T66,T67/$R65)</f>
        <v>0</v>
      </c>
      <c r="U65" s="242">
        <f t="shared" ca="1" si="20"/>
        <v>0</v>
      </c>
      <c r="V65" s="242">
        <f t="shared" ca="1" si="20"/>
        <v>1</v>
      </c>
      <c r="W65" s="242">
        <f t="shared" ca="1" si="20"/>
        <v>0</v>
      </c>
      <c r="X65" s="242">
        <f t="shared" ca="1" si="20"/>
        <v>0</v>
      </c>
      <c r="Y65" s="242">
        <f t="shared" ca="1" si="20"/>
        <v>0</v>
      </c>
      <c r="Z65" s="242">
        <f t="shared" ca="1" si="20"/>
        <v>0</v>
      </c>
      <c r="AA65" s="242">
        <f t="shared" ca="1" si="20"/>
        <v>0</v>
      </c>
      <c r="AB65" s="242">
        <f t="shared" ca="1" si="20"/>
        <v>0</v>
      </c>
      <c r="AC65" s="242">
        <f t="shared" ca="1" si="20"/>
        <v>0</v>
      </c>
      <c r="AD65" s="242">
        <f t="shared" ca="1" si="20"/>
        <v>0</v>
      </c>
      <c r="AE65" s="251">
        <f t="shared" ca="1" si="20"/>
        <v>0</v>
      </c>
    </row>
    <row r="66" spans="1:32" ht="12.75" customHeight="1" x14ac:dyDescent="0.2">
      <c r="D66" s="620"/>
      <c r="E66" s="239">
        <f ca="1">IF(ISERROR(E65),IF(1+COUNTIF($L$13:OFFSET(L65,-1,0),1)&lt;=MAX(QCI!$D$13:$D$24),1+COUNTIF($L$13:OFFSET(L65,-1,0),1),-1),0)</f>
        <v>0</v>
      </c>
      <c r="F66" s="239" t="str">
        <f ca="1">IF(AND($E66&lt;&gt;-1,$R65&gt;0),"F","")</f>
        <v>F</v>
      </c>
      <c r="G66" s="252" t="str">
        <f ca="1">IF(OR(R65=0,R65=""),"vazia",IF(AND(OR(ACOMPANHAMENTO="PLE",$Q65&lt;&gt;2),$E66=0),"calculada","--&gt;"))</f>
        <v>--&gt;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>
        <v>1</v>
      </c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2$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1910.25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1</v>
      </c>
      <c r="C68" s="239">
        <f ca="1">IF($Q68&lt;&gt;2,0,IF($R68=0,1,IF(E69&gt;0,OFFSET(QCI!$N$13,SUBSTITUTE(E69,".",""),0),OFFSET(ORÇAMENTO!$AB$15,CRONO!$E68,0))/$R68))</f>
        <v>1</v>
      </c>
      <c r="D68" s="242">
        <f ca="1">IF(AND($Q68=2,ACOMPANHAMENTO="BM"),D69,D70/$R68)</f>
        <v>0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>
        <f ca="1">IF($E69=0,OFFSET(ORÇAMENTO!O$15,$E68,0),IF($E69&lt;&gt;-1,OFFSET(QCI!$D$13,$E69,0),""))</f>
        <v>10</v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2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2</v>
      </c>
      <c r="R68" s="248">
        <f ca="1">IF($E69=0,OFFSET(ORÇAMENTO!X$15,$E68,0),IF($E69&lt;&gt;-1,OFFSET(QCI!$O$13,$E69,0),""))</f>
        <v>0</v>
      </c>
      <c r="S68" s="249" t="s">
        <v>269</v>
      </c>
      <c r="T68" s="250">
        <f t="shared" ref="T68:AE68" ca="1" si="21">IF(AND($Q68=2,ACOMPANHAMENTO="BM"),T69,T70/$R68)</f>
        <v>0</v>
      </c>
      <c r="U68" s="242">
        <f t="shared" ca="1" si="21"/>
        <v>0</v>
      </c>
      <c r="V68" s="242">
        <f t="shared" ca="1" si="21"/>
        <v>0</v>
      </c>
      <c r="W68" s="242">
        <f t="shared" ca="1" si="21"/>
        <v>0</v>
      </c>
      <c r="X68" s="242">
        <f t="shared" ca="1" si="21"/>
        <v>0</v>
      </c>
      <c r="Y68" s="242">
        <f t="shared" ca="1" si="21"/>
        <v>0</v>
      </c>
      <c r="Z68" s="242">
        <f t="shared" ca="1" si="21"/>
        <v>0</v>
      </c>
      <c r="AA68" s="242">
        <f t="shared" ca="1" si="21"/>
        <v>0</v>
      </c>
      <c r="AB68" s="242">
        <f t="shared" ca="1" si="21"/>
        <v>0</v>
      </c>
      <c r="AC68" s="242">
        <f t="shared" ca="1" si="21"/>
        <v>0</v>
      </c>
      <c r="AD68" s="242">
        <f t="shared" ca="1" si="21"/>
        <v>0</v>
      </c>
      <c r="AE68" s="251">
        <f t="shared" ca="1" si="21"/>
        <v>0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10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3" t="str">
        <f ca="1">"Total:    R$ "&amp;TEXT(Q165,"#.##0,00")</f>
        <v>Total:    R$ 183.222,39</v>
      </c>
      <c r="I165" s="723"/>
      <c r="J165" s="723"/>
      <c r="K165" s="291"/>
      <c r="Q165" s="292">
        <f ca="1">SUMIF(L12:L164,1,R12:R164)</f>
        <v>183222.38999999998</v>
      </c>
      <c r="R165" s="293"/>
      <c r="S165" s="294" t="s">
        <v>281</v>
      </c>
      <c r="T165" s="295">
        <f t="shared" ref="T165:AE165" ca="1" si="53">ROUND(T169,2)/$Q$165</f>
        <v>0.33710705334648239</v>
      </c>
      <c r="U165" s="296">
        <f t="shared" ca="1" si="53"/>
        <v>0.4083696321175595</v>
      </c>
      <c r="V165" s="296">
        <f t="shared" ca="1" si="53"/>
        <v>0.25452331453595822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61765.56</v>
      </c>
      <c r="U167" s="309">
        <f t="shared" ref="U167:AE167" ca="1" si="55">ROUND(U172,2)-ROUND(T172,2)</f>
        <v>74822.459999999992</v>
      </c>
      <c r="V167" s="309">
        <f t="shared" ca="1" si="55"/>
        <v>46634.370000000024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61765.56</v>
      </c>
      <c r="U169" s="321">
        <f t="shared" ref="U169:AE169" ca="1" si="57">ROUND(U174,2)-ROUND(T174,2)</f>
        <v>74822.459999999992</v>
      </c>
      <c r="V169" s="321">
        <f t="shared" ca="1" si="57"/>
        <v>46634.370000000024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0.33710705334648239</v>
      </c>
      <c r="U170" s="296">
        <f t="shared" ref="U170:AE170" ca="1" si="58">ROUND(U174,2)/$Q$165</f>
        <v>0.74547668546404178</v>
      </c>
      <c r="V170" s="296">
        <f t="shared" ca="1" si="58"/>
        <v>1.0000000000000002</v>
      </c>
      <c r="W170" s="296">
        <f t="shared" ca="1" si="58"/>
        <v>1.0000000000000002</v>
      </c>
      <c r="X170" s="296">
        <f t="shared" ca="1" si="58"/>
        <v>1.0000000000000002</v>
      </c>
      <c r="Y170" s="296">
        <f t="shared" ca="1" si="58"/>
        <v>1.0000000000000002</v>
      </c>
      <c r="Z170" s="296">
        <f t="shared" ca="1" si="58"/>
        <v>1.0000000000000002</v>
      </c>
      <c r="AA170" s="296">
        <f t="shared" ca="1" si="58"/>
        <v>1.0000000000000002</v>
      </c>
      <c r="AB170" s="296">
        <f t="shared" ca="1" si="58"/>
        <v>1.0000000000000002</v>
      </c>
      <c r="AC170" s="296">
        <f t="shared" ca="1" si="58"/>
        <v>1.0000000000000002</v>
      </c>
      <c r="AD170" s="296">
        <f t="shared" ca="1" si="58"/>
        <v>1.0000000000000002</v>
      </c>
      <c r="AE170" s="297">
        <f t="shared" ca="1" si="58"/>
        <v>1.0000000000000002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61765.555</v>
      </c>
      <c r="U172" s="309">
        <f t="array" aca="1" ref="U172" ca="1">T172+SUM((OFFSET($B$13,1,0):OFFSET($B$164,-3,0))*IF(ISNUMBER(OFFSET(U$11,5,0):OFFSET(U$164,-1,0)),OFFSET(U$11,5,0):OFFSET(U$164,-1,0),0))</f>
        <v>136588.02000000002</v>
      </c>
      <c r="V172" s="309">
        <f t="array" aca="1" ref="V172" ca="1">U172+SUM((OFFSET($B$13,1,0):OFFSET($B$164,-3,0))*IF(ISNUMBER(OFFSET(V$11,5,0):OFFSET(V$164,-1,0)),OFFSET(V$11,5,0):OFFSET(V$164,-1,0),0))</f>
        <v>183222.39</v>
      </c>
      <c r="W172" s="309">
        <f t="array" aca="1" ref="W172" ca="1">V172+SUM((OFFSET($B$13,1,0):OFFSET($B$164,-3,0))*IF(ISNUMBER(OFFSET(W$11,5,0):OFFSET(W$164,-1,0)),OFFSET(W$11,5,0):OFFSET(W$164,-1,0),0))</f>
        <v>183222.39</v>
      </c>
      <c r="X172" s="309">
        <f t="array" aca="1" ref="X172" ca="1">W172+SUM((OFFSET($B$13,1,0):OFFSET($B$164,-3,0))*IF(ISNUMBER(OFFSET(X$11,5,0):OFFSET(X$164,-1,0)),OFFSET(X$11,5,0):OFFSET(X$164,-1,0),0))</f>
        <v>183222.39</v>
      </c>
      <c r="Y172" s="309">
        <f t="array" aca="1" ref="Y172" ca="1">X172+SUM((OFFSET($B$13,1,0):OFFSET($B$164,-3,0))*IF(ISNUMBER(OFFSET(Y$11,5,0):OFFSET(Y$164,-1,0)),OFFSET(Y$11,5,0):OFFSET(Y$164,-1,0),0))</f>
        <v>183222.39</v>
      </c>
      <c r="Z172" s="309">
        <f t="array" aca="1" ref="Z172" ca="1">Y172+SUM((OFFSET($B$13,1,0):OFFSET($B$164,-3,0))*IF(ISNUMBER(OFFSET(Z$11,5,0):OFFSET(Z$164,-1,0)),OFFSET(Z$11,5,0):OFFSET(Z$164,-1,0),0))</f>
        <v>183222.39</v>
      </c>
      <c r="AA172" s="309">
        <f t="array" aca="1" ref="AA172" ca="1">Z172+SUM((OFFSET($B$13,1,0):OFFSET($B$164,-3,0))*IF(ISNUMBER(OFFSET(AA$11,5,0):OFFSET(AA$164,-1,0)),OFFSET(AA$11,5,0):OFFSET(AA$164,-1,0),0))</f>
        <v>183222.39</v>
      </c>
      <c r="AB172" s="309">
        <f t="array" aca="1" ref="AB172" ca="1">AA172+SUM((OFFSET($B$13,1,0):OFFSET($B$164,-3,0))*IF(ISNUMBER(OFFSET(AB$11,5,0):OFFSET(AB$164,-1,0)),OFFSET(AB$11,5,0):OFFSET(AB$164,-1,0),0))</f>
        <v>183222.39</v>
      </c>
      <c r="AC172" s="309">
        <f t="array" aca="1" ref="AC172" ca="1">AB172+SUM((OFFSET($B$13,1,0):OFFSET($B$164,-3,0))*IF(ISNUMBER(OFFSET(AC$11,5,0):OFFSET(AC$164,-1,0)),OFFSET(AC$11,5,0):OFFSET(AC$164,-1,0),0))</f>
        <v>183222.39</v>
      </c>
      <c r="AD172" s="309">
        <f t="array" aca="1" ref="AD172" ca="1">AC172+SUM((OFFSET($B$13,1,0):OFFSET($B$164,-3,0))*IF(ISNUMBER(OFFSET(AD$11,5,0):OFFSET(AD$164,-1,0)),OFFSET(AD$11,5,0):OFFSET(AD$164,-1,0),0))</f>
        <v>183222.39</v>
      </c>
      <c r="AE172" s="310">
        <f t="array" aca="1" ref="AE172" ca="1">AD172+SUM((OFFSET($B$13,1,0):OFFSET($B$164,-3,0))*IF(ISNUMBER(OFFSET(AE$11,5,0):OFFSET(AE$164,-1,0)),OFFSET(AE$11,5,0):OFFSET(AE$164,-1,0),0))</f>
        <v>183222.39</v>
      </c>
      <c r="AF172" s="240">
        <f ca="1">AE172+SUMPRODUCT((OFFSET($C$13,1,0):OFFSET($C$164,-3,0))*IF(ISNUMBER(OFFSET(AF$11,5,0):OFFSET(AF$164,-1,0)),OFFSET(AF$11,5,0):OFFSET(AF$164,-1,0),0))</f>
        <v>183222.39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61765.555</v>
      </c>
      <c r="U174" s="321">
        <f t="shared" ref="U174:AF174" ca="1" si="60">T174+SUMIF($R$12:$R$164,"1$",U12:U164)</f>
        <v>136588.02000000002</v>
      </c>
      <c r="V174" s="321">
        <f t="shared" ca="1" si="60"/>
        <v>183222.39</v>
      </c>
      <c r="W174" s="321">
        <f t="shared" ca="1" si="60"/>
        <v>183222.39</v>
      </c>
      <c r="X174" s="321">
        <f t="shared" ca="1" si="60"/>
        <v>183222.39</v>
      </c>
      <c r="Y174" s="321">
        <f t="shared" ca="1" si="60"/>
        <v>183222.39</v>
      </c>
      <c r="Z174" s="321">
        <f t="shared" ca="1" si="60"/>
        <v>183222.39</v>
      </c>
      <c r="AA174" s="321">
        <f t="shared" ca="1" si="60"/>
        <v>183222.39</v>
      </c>
      <c r="AB174" s="321">
        <f t="shared" ca="1" si="60"/>
        <v>183222.39</v>
      </c>
      <c r="AC174" s="321">
        <f t="shared" ca="1" si="60"/>
        <v>183222.39</v>
      </c>
      <c r="AD174" s="321">
        <f t="shared" ca="1" si="60"/>
        <v>183222.39</v>
      </c>
      <c r="AE174" s="322">
        <f t="shared" ca="1" si="60"/>
        <v>183222.39</v>
      </c>
      <c r="AF174" s="240">
        <f t="shared" ca="1" si="60"/>
        <v>183222.39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CÉU AZUL-PR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43788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(digite a descrição aqui)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(digite a descrição aqui)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(digite a descrição aqui)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(digite a descrição aqui)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(digite a descrição aqui)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(digite a descrição aqui)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(digite a descrição aqui)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7">
        <f t="shared" ca="1" si="1"/>
        <v>9</v>
      </c>
      <c r="C23" s="328" t="str">
        <f ca="1">IF(AUTOEVENTO="Manual",IF($B23&lt;&gt;1,OFFSET(EVENTOS!$D$14,$B23,0),0),IF(B23&lt;=MAX(CÁLCULO!$M$15:$M$266),VLOOKUP($B23,CÁLCULO!$M$15:$N$266,2,FALSE),0))</f>
        <v>(digite a descrição aqui)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7">
        <f t="shared" ca="1" si="1"/>
        <v>10</v>
      </c>
      <c r="C24" s="328" t="str">
        <f ca="1">IF(AUTOEVENTO="Manual",IF($B24&lt;&gt;1,OFFSET(EVENTOS!$D$14,$B24,0),0),IF(B24&lt;=MAX(CÁLCULO!$M$15:$M$266),VLOOKUP($B24,CÁLCULO!$M$15:$N$266,2,FALSE),0))</f>
        <v>(digite a descrição aqui)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MUNICIPIO DE CÉU AZUL</v>
      </c>
      <c r="I7" s="719"/>
      <c r="J7" s="719"/>
      <c r="K7" s="719"/>
      <c r="L7" s="719"/>
      <c r="M7" s="719"/>
      <c r="N7" s="719"/>
      <c r="O7" s="720" t="str">
        <f>Import.Apelido</f>
        <v>Ampliação e adequação do  cemei Raio de Sol</v>
      </c>
      <c r="P7" s="720"/>
      <c r="Q7" s="720"/>
      <c r="R7" s="720"/>
      <c r="S7" s="720"/>
      <c r="T7" s="720"/>
      <c r="U7" s="720"/>
      <c r="V7" s="720" t="str">
        <f>IF(TIPOORCAMENTO="Licitado",Import.empresa,Import.DescLote)</f>
        <v>lotes 04 e 05 quadra 13 , bairro são cristovao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(digite a descrição aqui)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2" t="str">
        <f ca="1">IF(AUTOEVENTO="Manual",IF($B17&lt;&gt;1,OFFSET(EVENTOS!$D$14,$B17,0),0),IF(B17&lt;=MAX(CÁLCULO!$M$15:$M$266),VLOOKUP($B17,CÁLCULO!$M$15:$N$266,2,FALSE),0))</f>
        <v>(digite a descrição aqui)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2" t="str">
        <f ca="1">IF(AUTOEVENTO="Manual",IF($B18&lt;&gt;1,OFFSET(EVENTOS!$D$14,$B18,0),0),IF(B18&lt;=MAX(CÁLCULO!$M$15:$M$266),VLOOKUP($B18,CÁLCULO!$M$15:$N$266,2,FALSE),0))</f>
        <v>(digite a descrição aqui)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2" t="str">
        <f ca="1">IF(AUTOEVENTO="Manual",IF($B19&lt;&gt;1,OFFSET(EVENTOS!$D$14,$B19,0),0),IF(B19&lt;=MAX(CÁLCULO!$M$15:$M$266),VLOOKUP($B19,CÁLCULO!$M$15:$N$266,2,FALSE),0))</f>
        <v>(digite a descrição aqui)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2" t="str">
        <f ca="1">IF(AUTOEVENTO="Manual",IF($B20&lt;&gt;1,OFFSET(EVENTOS!$D$14,$B20,0),0),IF(B20&lt;=MAX(CÁLCULO!$M$15:$M$266),VLOOKUP($B20,CÁLCULO!$M$15:$N$266,2,FALSE),0))</f>
        <v>(digite a descrição aqui)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42" t="str">
        <f ca="1">IF(AUTOEVENTO="Manual",IF($B21&lt;&gt;1,OFFSET(EVENTOS!$D$14,$B21,0),0),IF(B21&lt;=MAX(CÁLCULO!$M$15:$M$266),VLOOKUP($B21,CÁLCULO!$M$15:$N$266,2,FALSE),0))</f>
        <v>(digite a descrição aqui)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42" t="str">
        <f ca="1">IF(AUTOEVENTO="Manual",IF($B22&lt;&gt;1,OFFSET(EVENTOS!$D$14,$B22,0),0),IF(B22&lt;=MAX(CÁLCULO!$M$15:$M$266),VLOOKUP($B22,CÁLCULO!$M$15:$N$266,2,FALSE),0))</f>
        <v>(digite a descrição aqui)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7">
        <f t="shared" ca="1" si="1"/>
        <v>9</v>
      </c>
      <c r="C23" s="742" t="str">
        <f ca="1">IF(AUTOEVENTO="Manual",IF($B23&lt;&gt;1,OFFSET(EVENTOS!$D$14,$B23,0),0),IF(B23&lt;=MAX(CÁLCULO!$M$15:$M$266),VLOOKUP($B23,CÁLCULO!$M$15:$N$266,2,FALSE),0))</f>
        <v>(digite a descrição aqui)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7">
        <f t="shared" ca="1" si="1"/>
        <v>10</v>
      </c>
      <c r="C24" s="742" t="str">
        <f ca="1">IF(AUTOEVENTO="Manual",IF($B24&lt;&gt;1,OFFSET(EVENTOS!$D$14,$B24,0),0),IF(B24&lt;=MAX(CÁLCULO!$M$15:$M$266),VLOOKUP($B24,CÁLCULO!$M$15:$N$266,2,FALSE),0))</f>
        <v>(digite a descrição aqui)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CÉU AZUL-PR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>
        <f t="array" ref="W77:W80">Import.RespFiscalização</f>
        <v>0</v>
      </c>
      <c r="X77" s="105"/>
    </row>
    <row r="78" spans="1:32" x14ac:dyDescent="0.2">
      <c r="A78" s="9" t="s">
        <v>245</v>
      </c>
      <c r="B78" s="700">
        <f ca="1">DADOS!$F$47</f>
        <v>43790</v>
      </c>
      <c r="C78" s="700"/>
      <c r="D78" s="700"/>
      <c r="E78" s="105"/>
      <c r="I78" s="97"/>
      <c r="K78" s="105"/>
      <c r="U78" s="95" t="s">
        <v>126</v>
      </c>
      <c r="W78" s="354">
        <v>0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>
        <v>0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440</v>
      </c>
      <c r="E3" s="683"/>
      <c r="F3" s="112" t="s">
        <v>441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MUNICIPIO DE CÉU AZUL</v>
      </c>
      <c r="H4" s="686"/>
      <c r="I4" s="686"/>
      <c r="J4" s="758" t="str">
        <f>Import.Município</f>
        <v>CÉU AZUL-PR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Ampliação e adequação do  cemei Raio de Sol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-183222.38999999998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serviços iniciais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2862.23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2862.23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2862.23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2862.23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piso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17228.599999999999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17228.599999999999</v>
      </c>
      <c r="P15" s="579"/>
      <c r="R15" s="609"/>
      <c r="T15" s="610"/>
      <c r="U15" s="374"/>
      <c r="V15" s="611" t="s">
        <v>316</v>
      </c>
      <c r="W15" s="375">
        <f t="shared" ca="1" si="7"/>
        <v>17228.599999999999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17228.599999999999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>demolições e retiradas</v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>LOTE 1</v>
      </c>
      <c r="L16" s="369">
        <f t="shared" ca="1" si="4"/>
        <v>0</v>
      </c>
      <c r="M16" s="370">
        <f t="shared" ca="1" si="5"/>
        <v>13417.68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13417.68</v>
      </c>
      <c r="P16" s="579"/>
      <c r="R16" s="609"/>
      <c r="T16" s="610"/>
      <c r="U16" s="374"/>
      <c r="V16" s="611" t="s">
        <v>316</v>
      </c>
      <c r="W16" s="375">
        <f t="shared" ca="1" si="7"/>
        <v>13417.68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13417.68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>ESQUADRIAS</v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>LOTE 1</v>
      </c>
      <c r="L17" s="369">
        <f t="shared" ca="1" si="4"/>
        <v>0</v>
      </c>
      <c r="M17" s="370">
        <f t="shared" ca="1" si="5"/>
        <v>40008.07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40008.07</v>
      </c>
      <c r="P17" s="579"/>
      <c r="R17" s="609"/>
      <c r="T17" s="610"/>
      <c r="U17" s="374"/>
      <c r="V17" s="611" t="s">
        <v>316</v>
      </c>
      <c r="W17" s="375">
        <f t="shared" ca="1" si="7"/>
        <v>40008.07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40008.07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ht="25.5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Automático</v>
      </c>
      <c r="C18" t="str">
        <f t="shared" ca="1" si="1"/>
        <v>F</v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>fundações rasas, viga baldrame, pilares, vigas e paredes</v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>LOTE 1</v>
      </c>
      <c r="L18" s="369">
        <f t="shared" ca="1" si="4"/>
        <v>0</v>
      </c>
      <c r="M18" s="370">
        <f t="shared" ca="1" si="5"/>
        <v>73742.69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73742.69</v>
      </c>
      <c r="P18" s="579"/>
      <c r="R18" s="609"/>
      <c r="T18" s="610"/>
      <c r="U18" s="374"/>
      <c r="V18" s="611" t="s">
        <v>316</v>
      </c>
      <c r="W18" s="375">
        <f t="shared" ca="1" si="7"/>
        <v>73742.69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73742.69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Automático</v>
      </c>
      <c r="C19" t="str">
        <f t="shared" ca="1" si="1"/>
        <v>F</v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>coberturas</v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>LOTE 1</v>
      </c>
      <c r="L19" s="369">
        <f t="shared" ca="1" si="4"/>
        <v>0</v>
      </c>
      <c r="M19" s="370">
        <f t="shared" ca="1" si="5"/>
        <v>15387.3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15387.3</v>
      </c>
      <c r="P19" s="579"/>
      <c r="R19" s="609"/>
      <c r="T19" s="610"/>
      <c r="U19" s="374"/>
      <c r="V19" s="611" t="s">
        <v>316</v>
      </c>
      <c r="W19" s="375">
        <f t="shared" ca="1" si="7"/>
        <v>15387.3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15387.3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Automático</v>
      </c>
      <c r="C20" t="str">
        <f t="shared" ca="1" si="1"/>
        <v>F</v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>HIDRAULICO</v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>LOTE 1</v>
      </c>
      <c r="L20" s="369">
        <f t="shared" ca="1" si="4"/>
        <v>0</v>
      </c>
      <c r="M20" s="370">
        <f t="shared" ca="1" si="5"/>
        <v>6036.03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6036.03</v>
      </c>
      <c r="P20" s="579"/>
      <c r="R20" s="609"/>
      <c r="T20" s="610"/>
      <c r="U20" s="374"/>
      <c r="V20" s="611" t="s">
        <v>316</v>
      </c>
      <c r="W20" s="375">
        <f t="shared" ca="1" si="7"/>
        <v>6036.03</v>
      </c>
      <c r="X20" s="376">
        <v>0</v>
      </c>
      <c r="Z20" s="377">
        <f t="shared" ca="1" si="8"/>
        <v>-9.0949470177292824E-13</v>
      </c>
      <c r="AA20">
        <f ca="1">IF($B20="Branco",0,IF($B20="Manual",QCI.CPManual,IF($B20="SemiAuto",ROUND(QCI!$AA$3*QCI.InvManual,2),INDEX(ORÇAMENTO!$AA$15:$AA$266,MATCH($A20,ORÇAMENTO!$E$15:$E$266,0)))))</f>
        <v>6036.0300000000007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Automático</v>
      </c>
      <c r="C21" t="str">
        <f t="shared" ca="1" si="1"/>
        <v>F</v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>ELETRICO</v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>LOTE 1</v>
      </c>
      <c r="L21" s="369">
        <f t="shared" ca="1" si="4"/>
        <v>0</v>
      </c>
      <c r="M21" s="370">
        <f t="shared" ca="1" si="5"/>
        <v>12629.54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12629.54</v>
      </c>
      <c r="P21" s="579"/>
      <c r="R21" s="609"/>
      <c r="T21" s="610"/>
      <c r="U21" s="374"/>
      <c r="V21" s="611" t="s">
        <v>316</v>
      </c>
      <c r="W21" s="375">
        <f t="shared" ca="1" si="7"/>
        <v>12629.54</v>
      </c>
      <c r="X21" s="376">
        <v>0</v>
      </c>
      <c r="Z21" s="377">
        <f t="shared" ca="1" si="8"/>
        <v>1.8189894035458565E-12</v>
      </c>
      <c r="AA21">
        <f ca="1">IF($B21="Branco",0,IF($B21="Manual",QCI.CPManual,IF($B21="SemiAuto",ROUND(QCI!$AA$3*QCI.InvManual,2),INDEX(ORÇAMENTO!$AA$15:$AA$266,MATCH($A21,ORÇAMENTO!$E$15:$E$266,0)))))</f>
        <v>12629.539999999999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Automático</v>
      </c>
      <c r="C22" t="str">
        <f t="shared" ca="1" si="1"/>
        <v>F</v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>SERVIÇOS FINAIS</v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>LOTE 1</v>
      </c>
      <c r="L22" s="369">
        <f t="shared" ca="1" si="4"/>
        <v>0</v>
      </c>
      <c r="M22" s="370">
        <f t="shared" ca="1" si="5"/>
        <v>1910.25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1910.25</v>
      </c>
      <c r="P22" s="579"/>
      <c r="R22" s="609"/>
      <c r="T22" s="610"/>
      <c r="U22" s="374"/>
      <c r="V22" s="611" t="s">
        <v>316</v>
      </c>
      <c r="W22" s="375">
        <f t="shared" ca="1" si="7"/>
        <v>1910.25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1910.25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183222.38999999998</v>
      </c>
      <c r="N24" s="390">
        <f ca="1">SUM(N13:OFFSET(N24,-1,0))</f>
        <v>0</v>
      </c>
      <c r="O24" s="391">
        <f ca="1">SUM(O13:OFFSET(O24,-1,0))</f>
        <v>183222.38999999998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183222.38999999998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CÉU AZUL-PR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GERMANO BONAMIGO</v>
      </c>
    </row>
    <row r="36" spans="4:12" x14ac:dyDescent="0.2">
      <c r="D36" s="700">
        <f>DADOS!$F$25</f>
        <v>43788</v>
      </c>
      <c r="E36" s="700"/>
      <c r="F36" s="700"/>
      <c r="I36" s="95" t="str">
        <f>"Cargo:"  &amp; " " &amp; DADOS!F29</f>
        <v xml:space="preserve">Cargo: PREFEITO 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440</v>
      </c>
      <c r="G4" s="694"/>
      <c r="H4" s="694"/>
      <c r="I4" s="184" t="s">
        <v>441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MUNICIPIO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Ampliação e adequação do  cemei Raio de Sol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CÉU AZUL-PR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>Objeto do CTEF: lotes 04 e 05 quadra 13 , bairro são cristovao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x14ac:dyDescent="0.2">
      <c r="A16">
        <f ca="1">ORÇAMENTO!C16</f>
        <v>1</v>
      </c>
      <c r="B16">
        <f ca="1">ORÇAMENTO!D16</f>
        <v>10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serviços iniciais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2862.23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9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(digite a descrição aqui)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2862.23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EM CHAPA DE ACO GALVANIZADO</v>
      </c>
      <c r="F18" s="208" t="str">
        <f t="shared" ca="1" si="3"/>
        <v>M2</v>
      </c>
      <c r="G18" s="152">
        <f ca="1">IF(RegimeExecucao="Global","",ORÇAMENTO!T18)</f>
        <v>2.88</v>
      </c>
      <c r="H18" s="152">
        <f ca="1">IF(RegimeExecucao="Global","",ORÇAMENTO!W18)</f>
        <v>419.49</v>
      </c>
      <c r="I18" s="155">
        <f ca="1">ORÇAMENTO!X18</f>
        <v>1208.1300000000001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38.2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LOCACAO CONVENCIONAL DE OBRA, UTILIZANDO GABARITO DE TÁBUAS CORRIDAS PONTALETADAS A CADA 2,00M -  2 UTILIZAÇÕES. AF_10/2018</v>
      </c>
      <c r="F19" s="208" t="str">
        <f t="shared" ca="1" si="3"/>
        <v>M</v>
      </c>
      <c r="G19" s="152">
        <f ca="1">IF(RegimeExecucao="Global","",ORÇAMENTO!T19)</f>
        <v>35</v>
      </c>
      <c r="H19" s="152">
        <f ca="1">IF(RegimeExecucao="Global","",ORÇAMENTO!W19)</f>
        <v>47.26</v>
      </c>
      <c r="I19" s="155">
        <f ca="1">ORÇAMENTO!X19</f>
        <v>1654.1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(Sem Código)</v>
      </c>
      <c r="F20" s="208" t="str">
        <f t="shared" ca="1" si="3"/>
        <v>-</v>
      </c>
      <c r="G20" s="152">
        <f ca="1">IF(RegimeExecucao="Global","",ORÇAMENTO!T20)</f>
        <v>0</v>
      </c>
      <c r="H20" s="152">
        <f ca="1">IF(RegimeExecucao="Global","",ORÇAMENTO!W20)</f>
        <v>0</v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(Sem Código)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/>
      </c>
      <c r="D22" s="147" t="str">
        <f ca="1">ORÇAMENTO!O22</f>
        <v>-</v>
      </c>
      <c r="E22" s="207" t="str">
        <f t="shared" ca="1" si="2"/>
        <v>(Sem Código)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0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/>
      </c>
      <c r="D23" s="147" t="str">
        <f ca="1">ORÇAMENTO!O23</f>
        <v>-</v>
      </c>
      <c r="E23" s="207" t="str">
        <f t="shared" ca="1" si="2"/>
        <v>(Sem Código)</v>
      </c>
      <c r="F23" s="208" t="str">
        <f t="shared" ca="1" si="3"/>
        <v>-</v>
      </c>
      <c r="G23" s="152">
        <f ca="1">IF(RegimeExecucao="Global","",ORÇAMENTO!T23)</f>
        <v>0</v>
      </c>
      <c r="H23" s="152">
        <f ca="1">IF(RegimeExecucao="Global","",ORÇAMENTO!W23)</f>
        <v>0</v>
      </c>
      <c r="I23" s="155">
        <f ca="1">ORÇAMENTO!X23</f>
        <v>0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/>
      </c>
      <c r="D24" s="147" t="str">
        <f ca="1">ORÇAMENTO!O24</f>
        <v>-</v>
      </c>
      <c r="E24" s="207" t="str">
        <f t="shared" ca="1" si="2"/>
        <v>(Sem Código)</v>
      </c>
      <c r="F24" s="208" t="str">
        <f t="shared" ca="1" si="3"/>
        <v>-</v>
      </c>
      <c r="G24" s="152">
        <f ca="1">IF(RegimeExecucao="Global","",ORÇAMENTO!T24)</f>
        <v>0</v>
      </c>
      <c r="H24" s="152">
        <f ca="1">IF(RegimeExecucao="Global","",ORÇAMENTO!W24)</f>
        <v>0</v>
      </c>
      <c r="I24" s="155">
        <f ca="1">ORÇAMENTO!X24</f>
        <v>0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/>
      </c>
      <c r="D25" s="147" t="str">
        <f ca="1">ORÇAMENTO!O25</f>
        <v>-</v>
      </c>
      <c r="E25" s="207" t="str">
        <f t="shared" ca="1" si="2"/>
        <v>(Sem Código)</v>
      </c>
      <c r="F25" s="208" t="str">
        <f t="shared" ca="1" si="3"/>
        <v>-</v>
      </c>
      <c r="G25" s="152">
        <f ca="1">IF(RegimeExecucao="Global","",ORÇAMENTO!T25)</f>
        <v>0</v>
      </c>
      <c r="H25" s="152">
        <f ca="1">IF(RegimeExecucao="Global","",ORÇAMENTO!W25)</f>
        <v>0</v>
      </c>
      <c r="I25" s="155">
        <f ca="1">ORÇAMENTO!X25</f>
        <v>0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>
        <f ca="1">ORÇAMENTO!C26</f>
        <v>1</v>
      </c>
      <c r="B26">
        <f ca="1">ORÇAMENTO!D26</f>
        <v>10</v>
      </c>
      <c r="C26" s="144" t="str">
        <f t="shared" ca="1" si="1"/>
        <v>F</v>
      </c>
      <c r="D26" s="147" t="str">
        <f ca="1">ORÇAMENTO!O26</f>
        <v>2.</v>
      </c>
      <c r="E26" s="207" t="str">
        <f t="shared" ca="1" si="2"/>
        <v>piso</v>
      </c>
      <c r="F26" s="208" t="str">
        <f t="shared" ca="1" si="3"/>
        <v>-</v>
      </c>
      <c r="G26" s="152">
        <f ca="1">IF(RegimeExecucao="Global","",ORÇAMENTO!T26)</f>
        <v>0</v>
      </c>
      <c r="H26" s="152">
        <f ca="1">IF(RegimeExecucao="Global","",ORÇAMENTO!W26)</f>
        <v>0</v>
      </c>
      <c r="I26" s="155">
        <f ca="1">ORÇAMENTO!X26</f>
        <v>17228.599999999999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>
        <f ca="1">ORÇAMENTO!C27</f>
        <v>2</v>
      </c>
      <c r="B27">
        <f ca="1">ORÇAMENTO!D27</f>
        <v>9</v>
      </c>
      <c r="C27" s="144" t="str">
        <f t="shared" ca="1" si="1"/>
        <v>F</v>
      </c>
      <c r="D27" s="147" t="str">
        <f ca="1">ORÇAMENTO!O27</f>
        <v>2.1.</v>
      </c>
      <c r="E27" s="207" t="str">
        <f t="shared" ca="1" si="2"/>
        <v>(digite a descrição aqui)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17228.599999999999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38.25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2.1.1.</v>
      </c>
      <c r="E28" s="207" t="str">
        <f t="shared" ca="1" si="2"/>
        <v>CONTRAPISO EM ARGAMASSA TRAÇO 1:4 (CIMENTO E AREIA), PREPARO MECÂNICO COM BETONEIRA 400 L, APLICADO EM ÁREAS SECAS SOBRE LAJE, NÃO ADERIDO, ESPESSURA 5CM. AF_06/2014</v>
      </c>
      <c r="F28" s="208" t="str">
        <f t="shared" ca="1" si="3"/>
        <v>M2</v>
      </c>
      <c r="G28" s="152">
        <f ca="1">IF(RegimeExecucao="Global","",ORÇAMENTO!T28)</f>
        <v>270</v>
      </c>
      <c r="H28" s="152">
        <f ca="1">IF(RegimeExecucao="Global","",ORÇAMENTO!W28)</f>
        <v>41.85</v>
      </c>
      <c r="I28" s="155">
        <f ca="1">ORÇAMENTO!X28</f>
        <v>11299.5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2.1.2.</v>
      </c>
      <c r="E29" s="207" t="str">
        <f t="shared" ca="1" si="2"/>
        <v>REGULARIZAÇÃO DE SUPERFICIE DE CONCRETO APARENTE</v>
      </c>
      <c r="F29" s="208" t="str">
        <f t="shared" ca="1" si="3"/>
        <v>M2</v>
      </c>
      <c r="G29" s="152">
        <f ca="1">IF(RegimeExecucao="Global","",ORÇAMENTO!T29)</f>
        <v>270</v>
      </c>
      <c r="H29" s="152">
        <f ca="1">IF(RegimeExecucao="Global","",ORÇAMENTO!W29)</f>
        <v>12.85</v>
      </c>
      <c r="I29" s="155">
        <f ca="1">ORÇAMENTO!X29</f>
        <v>3469.5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38.25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>F</v>
      </c>
      <c r="D30" s="147" t="str">
        <f ca="1">ORÇAMENTO!O30</f>
        <v>2.1.3.</v>
      </c>
      <c r="E30" s="207" t="str">
        <f t="shared" ca="1" si="2"/>
        <v>REVESTIMENTO CERÂMICO PARA PISO COM PLACAS TIPO ESMALTADA EXTRA DE DIMENSÕES 35X35 CM APLICADA EM AMBIENTES DE ÁREA MAIOR QUE 10 M2. AF_06/2014</v>
      </c>
      <c r="F30" s="208" t="str">
        <f t="shared" ca="1" si="3"/>
        <v>M2</v>
      </c>
      <c r="G30" s="152">
        <f ca="1">IF(RegimeExecucao="Global","",ORÇAMENTO!T30)</f>
        <v>40</v>
      </c>
      <c r="H30" s="152">
        <f ca="1">IF(RegimeExecucao="Global","",ORÇAMENTO!W30)</f>
        <v>34.4</v>
      </c>
      <c r="I30" s="155">
        <f ca="1">ORÇAMENTO!X30</f>
        <v>1376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2.1.4.</v>
      </c>
      <c r="E31" s="207" t="str">
        <f t="shared" ca="1" si="2"/>
        <v>REJUNTE EPOXI BRANCO</v>
      </c>
      <c r="F31" s="208" t="str">
        <f t="shared" ca="1" si="3"/>
        <v xml:space="preserve">KG    </v>
      </c>
      <c r="G31" s="152">
        <f ca="1">IF(RegimeExecucao="Global","",ORÇAMENTO!T31)</f>
        <v>15</v>
      </c>
      <c r="H31" s="152">
        <f ca="1">IF(RegimeExecucao="Global","",ORÇAMENTO!W31)</f>
        <v>50.77</v>
      </c>
      <c r="I31" s="155">
        <f ca="1">ORÇAMENTO!X31</f>
        <v>761.55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ht="25.5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>F</v>
      </c>
      <c r="D32" s="147" t="str">
        <f ca="1">ORÇAMENTO!O32</f>
        <v>2.1.5.</v>
      </c>
      <c r="E32" s="207" t="str">
        <f t="shared" ca="1" si="2"/>
        <v>RODAPÉ CERÂMICO DE 7CM DE ALTURA COM PLACAS TIPO ESMALTADA EXTRA  DE DIMENSÕES 35X35CM. AF_06/2014</v>
      </c>
      <c r="F32" s="208" t="str">
        <f t="shared" ca="1" si="3"/>
        <v>M</v>
      </c>
      <c r="G32" s="152">
        <f ca="1">IF(RegimeExecucao="Global","",ORÇAMENTO!T32)</f>
        <v>57</v>
      </c>
      <c r="H32" s="152">
        <f ca="1">IF(RegimeExecucao="Global","",ORÇAMENTO!W32)</f>
        <v>5.65</v>
      </c>
      <c r="I32" s="155">
        <f ca="1">ORÇAMENTO!X32</f>
        <v>322.05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>
        <f ca="1">ORÇAMENTO!C36</f>
        <v>1</v>
      </c>
      <c r="B36">
        <f ca="1">ORÇAMENTO!D36</f>
        <v>16</v>
      </c>
      <c r="C36" s="144" t="str">
        <f t="shared" ca="1" si="1"/>
        <v>F</v>
      </c>
      <c r="D36" s="147" t="str">
        <f ca="1">ORÇAMENTO!O36</f>
        <v>3.</v>
      </c>
      <c r="E36" s="207" t="str">
        <f t="shared" ca="1" si="2"/>
        <v>demolições e retiradas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13417.68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>
        <f ca="1">ORÇAMENTO!C37</f>
        <v>2</v>
      </c>
      <c r="B37">
        <f ca="1">ORÇAMENTO!D37</f>
        <v>15</v>
      </c>
      <c r="C37" s="144" t="str">
        <f t="shared" ca="1" si="1"/>
        <v>F</v>
      </c>
      <c r="D37" s="147" t="str">
        <f ca="1">ORÇAMENTO!O37</f>
        <v>3.1.</v>
      </c>
      <c r="E37" s="207" t="str">
        <f t="shared" ca="1" si="2"/>
        <v>(digite a descrição aqui)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13417.68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25.5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3.1.1.</v>
      </c>
      <c r="E38" s="207" t="str">
        <f t="shared" ca="1" si="2"/>
        <v>DEMOLIÇÃO DE ALVENARIA DE BLOCO FURADO, DE FORMA MANUAL, SEM REAPROVEITAMENTO. AF_12/2017</v>
      </c>
      <c r="F38" s="208" t="str">
        <f t="shared" ca="1" si="3"/>
        <v>M3</v>
      </c>
      <c r="G38" s="152">
        <f ca="1">IF(RegimeExecucao="Global","",ORÇAMENTO!T38)</f>
        <v>9.0500000000000007</v>
      </c>
      <c r="H38" s="152">
        <f ca="1">IF(RegimeExecucao="Global","",ORÇAMENTO!W38)</f>
        <v>55.91</v>
      </c>
      <c r="I38" s="155">
        <f ca="1">ORÇAMENTO!X38</f>
        <v>505.99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25.5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3.1.2.</v>
      </c>
      <c r="E39" s="207" t="str">
        <f t="shared" ca="1" si="2"/>
        <v>RETIRADA DE DIVISORIAS EM CHAPAS DE MADEIRA, COM MONTANTES METALICOS</v>
      </c>
      <c r="F39" s="208" t="str">
        <f t="shared" ca="1" si="3"/>
        <v>M2</v>
      </c>
      <c r="G39" s="152">
        <f ca="1">IF(RegimeExecucao="Global","",ORÇAMENTO!T39)</f>
        <v>54.34</v>
      </c>
      <c r="H39" s="152">
        <f ca="1">IF(RegimeExecucao="Global","",ORÇAMENTO!W39)</f>
        <v>28.76</v>
      </c>
      <c r="I39" s="155">
        <f ca="1">ORÇAMENTO!X39</f>
        <v>1562.82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ht="25.5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>F</v>
      </c>
      <c r="D40" s="147" t="str">
        <f ca="1">ORÇAMENTO!O40</f>
        <v>3.1.3.</v>
      </c>
      <c r="E40" s="207" t="str">
        <f t="shared" ca="1" si="2"/>
        <v>DEMOLIÇÃO DE LAJES, DE FORMA MANUAL, SEM REAPROVEITAMENTO. AF_12/2017</v>
      </c>
      <c r="F40" s="208" t="str">
        <f t="shared" ca="1" si="3"/>
        <v>M3</v>
      </c>
      <c r="G40" s="152">
        <f ca="1">IF(RegimeExecucao="Global","",ORÇAMENTO!T40)</f>
        <v>7.55</v>
      </c>
      <c r="H40" s="152">
        <f ca="1">IF(RegimeExecucao="Global","",ORÇAMENTO!W40)</f>
        <v>276.32</v>
      </c>
      <c r="I40" s="155">
        <f ca="1">ORÇAMENTO!X40</f>
        <v>2086.2199999999998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ht="25.5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>F</v>
      </c>
      <c r="D41" s="147" t="str">
        <f ca="1">ORÇAMENTO!O41</f>
        <v>3.1.4.</v>
      </c>
      <c r="E41" s="207" t="str">
        <f t="shared" ca="1" si="2"/>
        <v>REMOÇÃO DE PORTAS, DE FORMA MANUAL, SEM REAPROVEITAMENTO. AF_12/2017</v>
      </c>
      <c r="F41" s="208" t="str">
        <f t="shared" ca="1" si="3"/>
        <v>M2</v>
      </c>
      <c r="G41" s="152">
        <f ca="1">IF(RegimeExecucao="Global","",ORÇAMENTO!T41)</f>
        <v>13.44</v>
      </c>
      <c r="H41" s="152">
        <f ca="1">IF(RegimeExecucao="Global","",ORÇAMENTO!W41)</f>
        <v>9.1199999999999992</v>
      </c>
      <c r="I41" s="155">
        <f ca="1">ORÇAMENTO!X41</f>
        <v>122.57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ht="25.5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>F</v>
      </c>
      <c r="D42" s="147" t="str">
        <f ca="1">ORÇAMENTO!O42</f>
        <v>3.1.5.</v>
      </c>
      <c r="E42" s="207" t="str">
        <f t="shared" ca="1" si="2"/>
        <v>REMOÇÃO DE TESOURAS METÁLICAS, COM VÃO MENOR QUE 8M, DE FORMA MECANIZADA, COM REAPROVEITAMENTO. AF_12/2017</v>
      </c>
      <c r="F42" s="208" t="str">
        <f t="shared" ca="1" si="3"/>
        <v>UN</v>
      </c>
      <c r="G42" s="152">
        <f ca="1">IF(RegimeExecucao="Global","",ORÇAMENTO!T42)</f>
        <v>3</v>
      </c>
      <c r="H42" s="152">
        <f ca="1">IF(RegimeExecucao="Global","",ORÇAMENTO!W42)</f>
        <v>179.39</v>
      </c>
      <c r="I42" s="155">
        <f ca="1">ORÇAMENTO!X42</f>
        <v>538.16999999999996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>F</v>
      </c>
      <c r="D43" s="147" t="str">
        <f ca="1">ORÇAMENTO!O43</f>
        <v>3.1.6.</v>
      </c>
      <c r="E43" s="207" t="str">
        <f t="shared" ca="1" si="2"/>
        <v>RETIRADA DE PARALELEPIPEDOS INCLUSIVE TRANSPORTE E DESTINO FINAL</v>
      </c>
      <c r="F43" s="208" t="str">
        <f t="shared" ca="1" si="3"/>
        <v>M2</v>
      </c>
      <c r="G43" s="152">
        <f ca="1">IF(RegimeExecucao="Global","",ORÇAMENTO!T43)</f>
        <v>154</v>
      </c>
      <c r="H43" s="152">
        <f ca="1">IF(RegimeExecucao="Global","",ORÇAMENTO!W43)</f>
        <v>25.47</v>
      </c>
      <c r="I43" s="155">
        <f ca="1">ORÇAMENTO!X43</f>
        <v>3922.38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25.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3.1.7.</v>
      </c>
      <c r="E44" s="207" t="str">
        <f t="shared" ca="1" si="2"/>
        <v>ESCAVAÇÃO MANUAL DE VALA COM PROFUNDIDADE MENOR OU IGUAL A 1,30 M. AF_03/2016</v>
      </c>
      <c r="F44" s="208" t="str">
        <f t="shared" ca="1" si="3"/>
        <v>M3</v>
      </c>
      <c r="G44" s="152">
        <f ca="1">IF(RegimeExecucao="Global","",ORÇAMENTO!T44)</f>
        <v>53</v>
      </c>
      <c r="H44" s="152">
        <f ca="1">IF(RegimeExecucao="Global","",ORÇAMENTO!W44)</f>
        <v>84.6</v>
      </c>
      <c r="I44" s="155">
        <f ca="1">ORÇAMENTO!X44</f>
        <v>4483.8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25.5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>F</v>
      </c>
      <c r="D45" s="147" t="str">
        <f ca="1">ORÇAMENTO!O45</f>
        <v>3.1.8.</v>
      </c>
      <c r="E45" s="207" t="str">
        <f t="shared" ca="1" si="2"/>
        <v>REMOÇÃO DE JANELAS, DE FORMA MANUAL, SEM REAPROVEITAMENTO. AF_12/2017</v>
      </c>
      <c r="F45" s="208" t="str">
        <f t="shared" ca="1" si="3"/>
        <v>M2</v>
      </c>
      <c r="G45" s="152">
        <f ca="1">IF(RegimeExecucao="Global","",ORÇAMENTO!T45)</f>
        <v>7.4</v>
      </c>
      <c r="H45" s="152">
        <f ca="1">IF(RegimeExecucao="Global","",ORÇAMENTO!W45)</f>
        <v>26.45</v>
      </c>
      <c r="I45" s="155">
        <f ca="1">ORÇAMENTO!X45</f>
        <v>195.73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>
        <f ca="1">ORÇAMENTO!C52</f>
        <v>1</v>
      </c>
      <c r="B52">
        <f ca="1">ORÇAMENTO!D52</f>
        <v>10</v>
      </c>
      <c r="C52" s="144" t="str">
        <f t="shared" ca="1" si="1"/>
        <v>F</v>
      </c>
      <c r="D52" s="147" t="str">
        <f ca="1">ORÇAMENTO!O52</f>
        <v>4.</v>
      </c>
      <c r="E52" s="207" t="str">
        <f t="shared" ca="1" si="2"/>
        <v>ESQUADRIAS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40008.07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>
        <f ca="1">ORÇAMENTO!C53</f>
        <v>2</v>
      </c>
      <c r="B53">
        <f ca="1">ORÇAMENTO!D53</f>
        <v>9</v>
      </c>
      <c r="C53" s="144" t="str">
        <f t="shared" ca="1" si="1"/>
        <v>F</v>
      </c>
      <c r="D53" s="147" t="str">
        <f ca="1">ORÇAMENTO!O53</f>
        <v>4.1.</v>
      </c>
      <c r="E53" s="207" t="str">
        <f t="shared" ca="1" si="2"/>
        <v>(digite a descrição aqui)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40008.07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ht="25.5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>F</v>
      </c>
      <c r="D54" s="147" t="str">
        <f ca="1">ORÇAMENTO!O54</f>
        <v>4.1.1.</v>
      </c>
      <c r="E54" s="207" t="str">
        <f t="shared" ca="1" si="2"/>
        <v>RECOLOCACAO DE FOLHAS DE PORTA DE PASSAGEM OU JANELA, CONSIDERANDO REAPROVEITAMENTO DO MATERIAL</v>
      </c>
      <c r="F54" s="208" t="str">
        <f t="shared" ca="1" si="3"/>
        <v>UN</v>
      </c>
      <c r="G54" s="152">
        <f ca="1">IF(RegimeExecucao="Global","",ORÇAMENTO!T54)</f>
        <v>8</v>
      </c>
      <c r="H54" s="152">
        <f ca="1">IF(RegimeExecucao="Global","",ORÇAMENTO!W54)</f>
        <v>99.79</v>
      </c>
      <c r="I54" s="155">
        <f ca="1">ORÇAMENTO!X54</f>
        <v>798.32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ht="25.5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>F</v>
      </c>
      <c r="D55" s="147" t="str">
        <f ca="1">ORÇAMENTO!O55</f>
        <v>4.1.2.</v>
      </c>
      <c r="E55" s="207" t="str">
        <f t="shared" ca="1" si="2"/>
        <v>PORTAO DE ABRIR EM GRADIL DE METALON REDONDO DE 3/4"  VERTICAL, COM REQUADRO, ACABAMENTO NATURAL - COMPLETO</v>
      </c>
      <c r="F55" s="208" t="str">
        <f t="shared" ca="1" si="3"/>
        <v xml:space="preserve">M2    </v>
      </c>
      <c r="G55" s="152">
        <f ca="1">IF(RegimeExecucao="Global","",ORÇAMENTO!T55)</f>
        <v>50.2</v>
      </c>
      <c r="H55" s="152">
        <f ca="1">IF(RegimeExecucao="Global","",ORÇAMENTO!W55)</f>
        <v>396.31</v>
      </c>
      <c r="I55" s="155">
        <f ca="1">ORÇAMENTO!X55</f>
        <v>19894.759999999998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ht="38.25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>F</v>
      </c>
      <c r="D56" s="147" t="str">
        <f ca="1">ORÇAMENTO!O56</f>
        <v>4.1.3.</v>
      </c>
      <c r="E56" s="207" t="str">
        <f t="shared" ca="1" si="2"/>
        <v>KIT TELA MOSQUITEIRO EM PVC ,  COM MOLDURAS EM ALUMINIO METALON 100MMX50MM, ESPESSURA CHAPA 1,2MM, C/FIXAÇÕES,  INSTALADA - CONFORME DETALHE EM PROJETO</v>
      </c>
      <c r="F56" s="208" t="str">
        <f t="shared" ca="1" si="3"/>
        <v>M2</v>
      </c>
      <c r="G56" s="152">
        <f ca="1">IF(RegimeExecucao="Global","",ORÇAMENTO!T56)</f>
        <v>3.8</v>
      </c>
      <c r="H56" s="152">
        <f ca="1">IF(RegimeExecucao="Global","",ORÇAMENTO!W56)</f>
        <v>415.16</v>
      </c>
      <c r="I56" s="155">
        <f ca="1">ORÇAMENTO!X56</f>
        <v>1577.61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ht="5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>F</v>
      </c>
      <c r="D57" s="147" t="str">
        <f ca="1">ORÇAMENTO!O57</f>
        <v>4.1.4.</v>
      </c>
      <c r="E57" s="207" t="str">
        <f t="shared" ca="1" si="2"/>
        <v>JANELA DE CORRER EM ALUMINIO, 100 X 150 CM (A X L), 4 FLS, SEM BANDEIRA, ACABAMENTO ACET OU BRILHANTE, BATENTE/REQUADRO DE 6 A 14 CM, COM VIDRO, SEM GUARNICAO/ALIZAR</v>
      </c>
      <c r="F57" s="208" t="str">
        <f t="shared" ca="1" si="3"/>
        <v xml:space="preserve">M2    </v>
      </c>
      <c r="G57" s="152">
        <f ca="1">IF(RegimeExecucao="Global","",ORÇAMENTO!T57)</f>
        <v>5.4</v>
      </c>
      <c r="H57" s="152">
        <f ca="1">IF(RegimeExecucao="Global","",ORÇAMENTO!W57)</f>
        <v>329.44</v>
      </c>
      <c r="I57" s="155">
        <f ca="1">ORÇAMENTO!X57</f>
        <v>1778.98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ht="38.25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>F</v>
      </c>
      <c r="D58" s="147" t="str">
        <f ca="1">ORÇAMENTO!O58</f>
        <v>4.1.5.</v>
      </c>
      <c r="E58" s="207" t="str">
        <f t="shared" ca="1" si="2"/>
        <v>JANELA MAXIMO AR, ACO, BATENTE / REQUADRO DE 6 A 14 CM, PINT ANTICORROSIVA, SEM VIDRO, COM GRADE, 1 FL, 60  X 80 CM (A X L)</v>
      </c>
      <c r="F58" s="208" t="str">
        <f t="shared" ca="1" si="3"/>
        <v xml:space="preserve">UN    </v>
      </c>
      <c r="G58" s="152">
        <f ca="1">IF(RegimeExecucao="Global","",ORÇAMENTO!T58)</f>
        <v>10</v>
      </c>
      <c r="H58" s="152">
        <f ca="1">IF(RegimeExecucao="Global","",ORÇAMENTO!W58)</f>
        <v>439.1</v>
      </c>
      <c r="I58" s="155">
        <f ca="1">ORÇAMENTO!X58</f>
        <v>4391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ht="38.25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>F</v>
      </c>
      <c r="D59" s="147" t="str">
        <f ca="1">ORÇAMENTO!O59</f>
        <v>4.1.6.</v>
      </c>
      <c r="E59" s="207" t="str">
        <f t="shared" ca="1" si="2"/>
        <v>PORTA DE ALUMÍNIO DE ABRIR COM LAMBRI, COM GUARNIÇÃO, FIXAÇÃO COM PARAFUSOS - FORNECIMENTO E INSTALAÇÃO. AF_08/2015</v>
      </c>
      <c r="F59" s="208" t="str">
        <f t="shared" ca="1" si="3"/>
        <v>M2</v>
      </c>
      <c r="G59" s="152">
        <f ca="1">IF(RegimeExecucao="Global","",ORÇAMENTO!T59)</f>
        <v>10.08</v>
      </c>
      <c r="H59" s="152">
        <f ca="1">IF(RegimeExecucao="Global","",ORÇAMENTO!W59)</f>
        <v>1147.56</v>
      </c>
      <c r="I59" s="155">
        <f ca="1">ORÇAMENTO!X59</f>
        <v>11567.4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>
        <f ca="1">ORÇAMENTO!C62</f>
        <v>1</v>
      </c>
      <c r="B62">
        <f ca="1">ORÇAMENTO!D62</f>
        <v>90</v>
      </c>
      <c r="C62" s="144" t="str">
        <f t="shared" ca="1" si="1"/>
        <v>F</v>
      </c>
      <c r="D62" s="147" t="str">
        <f ca="1">ORÇAMENTO!O62</f>
        <v>5.</v>
      </c>
      <c r="E62" s="207" t="str">
        <f t="shared" ca="1" si="2"/>
        <v>fundações rasas, viga baldrame, pilares, vigas e paredes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73742.69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>
        <f ca="1">ORÇAMENTO!C63</f>
        <v>2</v>
      </c>
      <c r="B63">
        <f ca="1">ORÇAMENTO!D63</f>
        <v>89</v>
      </c>
      <c r="C63" s="144" t="str">
        <f t="shared" ca="1" si="1"/>
        <v>F</v>
      </c>
      <c r="D63" s="147" t="str">
        <f ca="1">ORÇAMENTO!O63</f>
        <v>5.1.</v>
      </c>
      <c r="E63" s="207" t="str">
        <f t="shared" ca="1" si="2"/>
        <v>(digite a descrição aqui)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73742.69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ht="25.5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>F</v>
      </c>
      <c r="D64" s="147" t="str">
        <f ca="1">ORÇAMENTO!O64</f>
        <v>5.1.1.</v>
      </c>
      <c r="E64" s="207" t="str">
        <f t="shared" ca="1" si="2"/>
        <v xml:space="preserve"> coifa aço inox  430 na chapa 22 , medindo: 1,73m x 1,20cm x 0,60 c/ exaustor de  0,40cm diâmetro, com10 metros de dutos inox instalada</v>
      </c>
      <c r="F64" s="208" t="str">
        <f t="shared" ca="1" si="3"/>
        <v>UNIDADE</v>
      </c>
      <c r="G64" s="152">
        <f ca="1">IF(RegimeExecucao="Global","",ORÇAMENTO!T64)</f>
        <v>1</v>
      </c>
      <c r="H64" s="152">
        <f ca="1">IF(RegimeExecucao="Global","",ORÇAMENTO!W64)</f>
        <v>4100.96</v>
      </c>
      <c r="I64" s="155">
        <f ca="1">ORÇAMENTO!X64</f>
        <v>4100.96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ht="25.5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>F</v>
      </c>
      <c r="D65" s="147" t="str">
        <f ca="1">ORÇAMENTO!O65</f>
        <v>5.1.2.</v>
      </c>
      <c r="E65" s="207" t="str">
        <f t="shared" ca="1" si="2"/>
        <v xml:space="preserve"> coifa aço inox  430 na chapa 22 , medindo: 1,20m x 1,20cm x 0,60 c/ exaustor de  0,40cm diâmetro, com 5 metros de dutos inox instalada</v>
      </c>
      <c r="F65" s="208" t="str">
        <f t="shared" ca="1" si="3"/>
        <v>UNIDADE</v>
      </c>
      <c r="G65" s="152">
        <f ca="1">IF(RegimeExecucao="Global","",ORÇAMENTO!T65)</f>
        <v>1</v>
      </c>
      <c r="H65" s="152">
        <f ca="1">IF(RegimeExecucao="Global","",ORÇAMENTO!W65)</f>
        <v>2101.5700000000002</v>
      </c>
      <c r="I65" s="155">
        <f ca="1">ORÇAMENTO!X65</f>
        <v>2101.5700000000002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ht="5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>F</v>
      </c>
      <c r="D66" s="147" t="str">
        <f ca="1">ORÇAMENTO!O66</f>
        <v>5.1.3.</v>
      </c>
      <c r="E66" s="207" t="str">
        <f t="shared" ca="1" si="2"/>
        <v>ALVENARIA DE VEDAÇÃO DE BLOCOS CERÂMICOS FURADOS NA HORIZONTAL DE 9X19X19CM (ESPESSURA 9CM) DE PAREDES COM ÁREA LÍQUIDA MENOR QUE 6M² SEM VÃOS E ARGAMASSA DE ASSENTAMENTO COM PREPARO EM BETONEIRA. AF_06/2014</v>
      </c>
      <c r="F66" s="208" t="str">
        <f t="shared" ca="1" si="3"/>
        <v>M2</v>
      </c>
      <c r="G66" s="152">
        <f ca="1">IF(RegimeExecucao="Global","",ORÇAMENTO!T66)</f>
        <v>145</v>
      </c>
      <c r="H66" s="152">
        <f ca="1">IF(RegimeExecucao="Global","",ORÇAMENTO!W66)</f>
        <v>85.67</v>
      </c>
      <c r="I66" s="155">
        <f ca="1">ORÇAMENTO!X66</f>
        <v>12422.15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ht="38.25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>F</v>
      </c>
      <c r="D67" s="147" t="str">
        <f ca="1">ORÇAMENTO!O67</f>
        <v>5.1.4.</v>
      </c>
      <c r="E67" s="207" t="str">
        <f t="shared" ca="1" si="2"/>
        <v>RECOLOCACAO DE DIVISORIAS TIPO CHAPAS OU TABUAS, INCLUSIVE ENTARUGAMENTO, CONSIDERANDO REAPROVEITAMENTO DO MATERIAL</v>
      </c>
      <c r="F67" s="208" t="str">
        <f t="shared" ca="1" si="3"/>
        <v>M2</v>
      </c>
      <c r="G67" s="152">
        <f ca="1">IF(RegimeExecucao="Global","",ORÇAMENTO!T67)</f>
        <v>26.7</v>
      </c>
      <c r="H67" s="152">
        <f ca="1">IF(RegimeExecucao="Global","",ORÇAMENTO!W67)</f>
        <v>38.82</v>
      </c>
      <c r="I67" s="155">
        <f ca="1">ORÇAMENTO!X67</f>
        <v>1036.49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ht="25.5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>F</v>
      </c>
      <c r="D68" s="147" t="str">
        <f ca="1">ORÇAMENTO!O68</f>
        <v>5.1.5.</v>
      </c>
      <c r="E68" s="207" t="str">
        <f t="shared" si="2"/>
        <v>CHAPISCO APLICADO EM ALVENARIA , COM COLHER DE PEDREIRO, PREPARO EM BETORNEIRA</v>
      </c>
      <c r="F68" s="208" t="str">
        <f t="shared" ca="1" si="3"/>
        <v>M2</v>
      </c>
      <c r="G68" s="152">
        <f ca="1">IF(RegimeExecucao="Global","",ORÇAMENTO!T68)</f>
        <v>320</v>
      </c>
      <c r="H68" s="152">
        <f ca="1">IF(RegimeExecucao="Global","",ORÇAMENTO!W68)</f>
        <v>8.6300000000000008</v>
      </c>
      <c r="I68" s="155">
        <f ca="1">ORÇAMENTO!X68</f>
        <v>2761.6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ht="38.25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>F</v>
      </c>
      <c r="D69" s="147" t="str">
        <f ca="1">ORÇAMENTO!O69</f>
        <v>5.1.6.</v>
      </c>
      <c r="E69" s="207" t="str">
        <f t="shared" ca="1" si="2"/>
        <v>EMBOÇO OU MASSA ÚNICA EM ARGAMASSA TRAÇO 1:2:8, PREPARO MANUAL, APLICADA MANUALMENTE EM PANOS DE FACHADA COM PRESENÇA DE VÃOS, ESPESSURA DE 25 MM. AF_06/2014</v>
      </c>
      <c r="F69" s="208" t="str">
        <f t="shared" ca="1" si="3"/>
        <v>M2</v>
      </c>
      <c r="G69" s="152">
        <f ca="1">IF(RegimeExecucao="Global","",ORÇAMENTO!T69)</f>
        <v>320</v>
      </c>
      <c r="H69" s="152">
        <f ca="1">IF(RegimeExecucao="Global","",ORÇAMENTO!W69)</f>
        <v>56.44</v>
      </c>
      <c r="I69" s="155">
        <f ca="1">ORÇAMENTO!X69</f>
        <v>18060.8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ht="5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>F</v>
      </c>
      <c r="D70" s="147" t="str">
        <f ca="1">ORÇAMENTO!O70</f>
        <v>5.1.7.</v>
      </c>
      <c r="E70" s="207" t="str">
        <f t="shared" ca="1" si="2"/>
        <v>REVESTIMENTO CERÂMICO PARA PAREDES INTERNAS COM PLACAS TIPO ESMALTADA EXTRA DE DIMENSÕES 20X20 CM APLICADAS EM AMBIENTES DE ÁREA MENOR QUE 5 M² A MEIA ALTURA DAS PAREDES. AF_06/2014</v>
      </c>
      <c r="F70" s="208" t="str">
        <f t="shared" ca="1" si="3"/>
        <v>M2</v>
      </c>
      <c r="G70" s="152">
        <f ca="1">IF(RegimeExecucao="Global","",ORÇAMENTO!T70)</f>
        <v>70</v>
      </c>
      <c r="H70" s="152">
        <f ca="1">IF(RegimeExecucao="Global","",ORÇAMENTO!W70)</f>
        <v>60.67</v>
      </c>
      <c r="I70" s="155">
        <f ca="1">ORÇAMENTO!X70</f>
        <v>4246.8999999999996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ht="5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>F</v>
      </c>
      <c r="D71" s="147" t="str">
        <f ca="1">ORÇAMENTO!O71</f>
        <v>5.1.8.</v>
      </c>
      <c r="E71" s="207" t="str">
        <f t="shared" ca="1" si="2"/>
        <v>MASSA ÚNICA, PARA RECEBIMENTO DE PINTURA, EM ARGAMASSA TRAÇO 1:2:8, PREPARO MANUAL, APLICADA MANUALMENTE EM FACES INTERNAS DE PAREDES, ESPESSURA DE 10MM, COM EXECUÇÃO DE TALISCAS. AF_06/2014</v>
      </c>
      <c r="F71" s="208" t="str">
        <f t="shared" ca="1" si="3"/>
        <v>M2</v>
      </c>
      <c r="G71" s="152">
        <f ca="1">IF(RegimeExecucao="Global","",ORÇAMENTO!T71)</f>
        <v>250</v>
      </c>
      <c r="H71" s="152">
        <f ca="1">IF(RegimeExecucao="Global","",ORÇAMENTO!W71)</f>
        <v>23.06</v>
      </c>
      <c r="I71" s="155">
        <f ca="1">ORÇAMENTO!X71</f>
        <v>5765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ht="38.25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>F</v>
      </c>
      <c r="D72" s="147" t="str">
        <f ca="1">ORÇAMENTO!O72</f>
        <v>5.1.9.</v>
      </c>
      <c r="E72" s="207" t="str">
        <f t="shared" ca="1" si="2"/>
        <v>APLICAÇÃO MANUAL DE PINTURA COM TINTA TEXTURIZADA ACRÍLICA EM SUPERFÍCIES EXTERNAS DE SACADA DE EDIFÍCIOS DE MÚLTIPLOS PAVIMENTOS, DUAS CORES. AF_06/2014</v>
      </c>
      <c r="F72" s="208" t="str">
        <f t="shared" ca="1" si="3"/>
        <v>M2</v>
      </c>
      <c r="G72" s="152">
        <f ca="1">IF(RegimeExecucao="Global","",ORÇAMENTO!T72)</f>
        <v>250</v>
      </c>
      <c r="H72" s="152">
        <f ca="1">IF(RegimeExecucao="Global","",ORÇAMENTO!W72)</f>
        <v>30.84</v>
      </c>
      <c r="I72" s="155">
        <f ca="1">ORÇAMENTO!X72</f>
        <v>7710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>F</v>
      </c>
      <c r="D73" s="147" t="str">
        <f ca="1">ORÇAMENTO!O73</f>
        <v>5.1.10.</v>
      </c>
      <c r="E73" s="207" t="str">
        <f t="shared" ca="1" si="2"/>
        <v>REJUNTE EPOXI BRANCO</v>
      </c>
      <c r="F73" s="208" t="str">
        <f t="shared" ca="1" si="3"/>
        <v xml:space="preserve">KG    </v>
      </c>
      <c r="G73" s="152">
        <f ca="1">IF(RegimeExecucao="Global","",ORÇAMENTO!T73)</f>
        <v>30</v>
      </c>
      <c r="H73" s="152">
        <f ca="1">IF(RegimeExecucao="Global","",ORÇAMENTO!W73)</f>
        <v>50.77</v>
      </c>
      <c r="I73" s="155">
        <f ca="1">ORÇAMENTO!X73</f>
        <v>1523.1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ht="25.5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>F</v>
      </c>
      <c r="D74" s="147" t="str">
        <f ca="1">ORÇAMENTO!O74</f>
        <v>5.1.11.</v>
      </c>
      <c r="E74" s="207" t="str">
        <f t="shared" ca="1" si="2"/>
        <v>REQUADRO EM ALVENARIA ,EM ABERTURA DE PORTAS E JANELAS COM CHAPISCO E EMBOÇO</v>
      </c>
      <c r="F74" s="208" t="str">
        <f t="shared" ca="1" si="3"/>
        <v>M2</v>
      </c>
      <c r="G74" s="152">
        <f ca="1">IF(RegimeExecucao="Global","",ORÇAMENTO!T74)</f>
        <v>35</v>
      </c>
      <c r="H74" s="152">
        <f ca="1">IF(RegimeExecucao="Global","",ORÇAMENTO!W74)</f>
        <v>38.21</v>
      </c>
      <c r="I74" s="155">
        <f ca="1">ORÇAMENTO!X74</f>
        <v>1337.35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ht="25.5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>F</v>
      </c>
      <c r="D75" s="147" t="str">
        <f ca="1">ORÇAMENTO!O75</f>
        <v>5.1.12.</v>
      </c>
      <c r="E75" s="207" t="str">
        <f t="shared" ca="1" si="2"/>
        <v>CONCRETO FCK = 20MPA, TRAÇO 1:2,7:3 (CIMENTO/ AREIA MÉDIA/ BRITA 1)  - PREPARO MECÂNICO COM BETONEIRA 400 L. AF_07/2016</v>
      </c>
      <c r="F75" s="208" t="str">
        <f t="shared" ca="1" si="3"/>
        <v>M3</v>
      </c>
      <c r="G75" s="152">
        <f ca="1">IF(RegimeExecucao="Global","",ORÇAMENTO!T75)</f>
        <v>4.0999999999999996</v>
      </c>
      <c r="H75" s="152">
        <f ca="1">IF(RegimeExecucao="Global","",ORÇAMENTO!W75)</f>
        <v>361.48</v>
      </c>
      <c r="I75" s="155">
        <f ca="1">ORÇAMENTO!X75</f>
        <v>1482.07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5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>F</v>
      </c>
      <c r="D76" s="147" t="str">
        <f ca="1">ORÇAMENTO!O76</f>
        <v>5.1.13.</v>
      </c>
      <c r="E76" s="207" t="str">
        <f t="shared" ca="1" si="2"/>
        <v>ARMAÇÃO DE PILAR OU VIGA DE UMA ESTRUTURA CONVENCIONAL DE CONCRETO ARMADO EM UM EDIFÍCIO DE MÚLTIPLOS PAVIMENTOS UTILIZANDO AÇO CA-50 DE 8,0 MM - MONTAGEM. AF_12/2015</v>
      </c>
      <c r="F76" s="208" t="str">
        <f t="shared" ca="1" si="3"/>
        <v>KG</v>
      </c>
      <c r="G76" s="152">
        <f ca="1">IF(RegimeExecucao="Global","",ORÇAMENTO!T76)</f>
        <v>239.59</v>
      </c>
      <c r="H76" s="152">
        <f ca="1">IF(RegimeExecucao="Global","",ORÇAMENTO!W76)</f>
        <v>11.28</v>
      </c>
      <c r="I76" s="155">
        <f ca="1">ORÇAMENTO!X76</f>
        <v>2702.58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38.25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>F</v>
      </c>
      <c r="D77" s="147" t="str">
        <f ca="1">ORÇAMENTO!O77</f>
        <v>5.1.14.</v>
      </c>
      <c r="E77" s="207" t="str">
        <f t="shared" ca="1" si="2"/>
        <v>ARMAÇÃO DE LAJE DE UMA ESTRUTURA CONVENCIONAL DE CONCRETO ARMADO EM UM EDIFÍCIO DE MÚLTIPLOS PAVIMENTOS UTILIZANDO AÇO CA-60 DE 5,0 MM - MONTAGEM. AF_12/2015</v>
      </c>
      <c r="F77" s="208" t="str">
        <f t="shared" ca="1" si="3"/>
        <v>KG</v>
      </c>
      <c r="G77" s="152">
        <f ca="1">IF(RegimeExecucao="Global","",ORÇAMENTO!T77)</f>
        <v>111.65</v>
      </c>
      <c r="H77" s="152">
        <f ca="1">IF(RegimeExecucao="Global","",ORÇAMENTO!W77)</f>
        <v>11.58</v>
      </c>
      <c r="I77" s="155">
        <f ca="1">ORÇAMENTO!X77</f>
        <v>1292.9100000000001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ht="38.25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>F</v>
      </c>
      <c r="D78" s="147" t="str">
        <f ca="1">ORÇAMENTO!O78</f>
        <v>5.1.15.</v>
      </c>
      <c r="E78" s="207" t="str">
        <f t="shared" ca="1" si="2"/>
        <v>ESTACA BROCA DE CONCRETO, DIÃMETRO DE 25 CM, PROFUNDIDADE DE ATÉ 3 M, ESCAVAÇÃO MANUAL COM TRADO CONCHA, NÃO ARMADA. AF_03/2018</v>
      </c>
      <c r="F78" s="208" t="str">
        <f t="shared" ca="1" si="3"/>
        <v>M</v>
      </c>
      <c r="G78" s="152">
        <f ca="1">IF(RegimeExecucao="Global","",ORÇAMENTO!T78)</f>
        <v>45.5</v>
      </c>
      <c r="H78" s="152">
        <f ca="1">IF(RegimeExecucao="Global","",ORÇAMENTO!W78)</f>
        <v>84.75</v>
      </c>
      <c r="I78" s="155">
        <f ca="1">ORÇAMENTO!X78</f>
        <v>3856.13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ht="25.5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>F</v>
      </c>
      <c r="D79" s="147" t="str">
        <f ca="1">ORÇAMENTO!O79</f>
        <v>5.1.16.</v>
      </c>
      <c r="E79" s="207" t="str">
        <f t="shared" ca="1" si="2"/>
        <v>CHAPA DE MADEIRA COMPENSADA RESINADA PARA FORMA DE CONCRETO, DE *2,2 X 1,1* M, E = 17 MM</v>
      </c>
      <c r="F79" s="208" t="str">
        <f t="shared" ca="1" si="3"/>
        <v xml:space="preserve">M2    </v>
      </c>
      <c r="G79" s="152">
        <f ca="1">IF(RegimeExecucao="Global","",ORÇAMENTO!T79)</f>
        <v>82.8</v>
      </c>
      <c r="H79" s="152">
        <f ca="1">IF(RegimeExecucao="Global","",ORÇAMENTO!W79)</f>
        <v>28.84</v>
      </c>
      <c r="I79" s="155">
        <f ca="1">ORÇAMENTO!X79</f>
        <v>2387.9499999999998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38.25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>F</v>
      </c>
      <c r="D80" s="147" t="str">
        <f ca="1">ORÇAMENTO!O80</f>
        <v>5.1.17.</v>
      </c>
      <c r="E80" s="207" t="str">
        <f t="shared" ref="E80:E143" ca="1" si="13">ORÇAMENTO.Descricao</f>
        <v>REPARO DE COLUNAS DE ESTRUTURA DE CONCRETO E TRATAMENTO DE JUNTA DE DILATAÇÃO COM PERFIL EM ALUMINIO L:8CM E e:2MM</v>
      </c>
      <c r="F80" s="208" t="str">
        <f t="shared" ref="F80:F143" ca="1" si="14">IF(RegimeExecucao="Global","",ORÇAMENTO.Unidade)</f>
        <v>UNIDADE</v>
      </c>
      <c r="G80" s="152">
        <f ca="1">IF(RegimeExecucao="Global","",ORÇAMENTO!T80)</f>
        <v>1</v>
      </c>
      <c r="H80" s="152">
        <f ca="1">IF(RegimeExecucao="Global","",ORÇAMENTO!W80)</f>
        <v>955.13</v>
      </c>
      <c r="I80" s="155">
        <f ca="1">ORÇAMENTO!X80</f>
        <v>955.13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>
        <f ca="1">ORÇAMENTO!C152</f>
        <v>1</v>
      </c>
      <c r="B152">
        <f ca="1">ORÇAMENTO!D152</f>
        <v>16</v>
      </c>
      <c r="C152" s="144" t="str">
        <f t="shared" ca="1" si="23"/>
        <v>F</v>
      </c>
      <c r="D152" s="147" t="str">
        <f ca="1">ORÇAMENTO!O152</f>
        <v>6.</v>
      </c>
      <c r="E152" s="207" t="str">
        <f t="shared" ca="1" si="24"/>
        <v>coberturas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15387.3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>
        <f ca="1">ORÇAMENTO!C153</f>
        <v>2</v>
      </c>
      <c r="B153">
        <f ca="1">ORÇAMENTO!D153</f>
        <v>15</v>
      </c>
      <c r="C153" s="144" t="str">
        <f t="shared" ca="1" si="23"/>
        <v>F</v>
      </c>
      <c r="D153" s="147" t="str">
        <f ca="1">ORÇAMENTO!O153</f>
        <v>6.1.</v>
      </c>
      <c r="E153" s="207" t="str">
        <f t="shared" ca="1" si="24"/>
        <v>(digite a descrição aqui)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15387.3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ht="38.25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>F</v>
      </c>
      <c r="D154" s="147" t="str">
        <f ca="1">ORÇAMENTO!O154</f>
        <v>6.1.1.</v>
      </c>
      <c r="E154" s="207" t="str">
        <f t="shared" ca="1" si="24"/>
        <v>FABRICAÇÃO E INSTALAÇÃO DE TESOURA INTEIRA EM AÇO, VÃO DE 3 M, PARA TELHA CERÂMICA OU DE CONCRETO, INCLUSO IÇAMENTO. AF_12/2015</v>
      </c>
      <c r="F154" s="208" t="str">
        <f t="shared" ca="1" si="25"/>
        <v>UN</v>
      </c>
      <c r="G154" s="152">
        <f ca="1">IF(RegimeExecucao="Global","",ORÇAMENTO!T154)</f>
        <v>5</v>
      </c>
      <c r="H154" s="152">
        <f ca="1">IF(RegimeExecucao="Global","",ORÇAMENTO!W154)</f>
        <v>657.88</v>
      </c>
      <c r="I154" s="155">
        <f ca="1">ORÇAMENTO!X154</f>
        <v>3289.4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ht="5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>F</v>
      </c>
      <c r="D155" s="147" t="str">
        <f ca="1">ORÇAMENTO!O155</f>
        <v>6.1.2.</v>
      </c>
      <c r="E155" s="207" t="str">
        <f t="shared" ca="1" si="24"/>
        <v>TELHAMENTO COM TELHA ONDULADA DE FIBROCIMENTO E = 6 MM, COM RECOBRIMENTO LATERAL DE 1 1/4 DE ONDA PARA TELHADO COM INCLINAÇÃO MÁXIMA DE 10°, COM ATÉ 2 ÁGUAS, INCLUSO IÇAMENTO. AF_06/2016</v>
      </c>
      <c r="F155" s="208" t="str">
        <f t="shared" ca="1" si="25"/>
        <v>M2</v>
      </c>
      <c r="G155" s="152">
        <f ca="1">IF(RegimeExecucao="Global","",ORÇAMENTO!T155)</f>
        <v>52.2</v>
      </c>
      <c r="H155" s="152">
        <f ca="1">IF(RegimeExecucao="Global","",ORÇAMENTO!W155)</f>
        <v>42.88</v>
      </c>
      <c r="I155" s="155">
        <f ca="1">ORÇAMENTO!X155</f>
        <v>2238.34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ht="25.5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>F</v>
      </c>
      <c r="D156" s="147" t="str">
        <f ca="1">ORÇAMENTO!O156</f>
        <v>6.1.3.</v>
      </c>
      <c r="E156" s="207" t="str">
        <f t="shared" ca="1" si="24"/>
        <v>FORRO DE PVC LISO, BRANCO, REGUA DE 10 CM, ESPESSURA DE 8 MM A 10 MM (COM COLOCACAO / SEM ESTRUTURA METALICA)</v>
      </c>
      <c r="F156" s="208" t="str">
        <f t="shared" ca="1" si="25"/>
        <v xml:space="preserve">M2    </v>
      </c>
      <c r="G156" s="152">
        <f ca="1">IF(RegimeExecucao="Global","",ORÇAMENTO!T156)</f>
        <v>52.2</v>
      </c>
      <c r="H156" s="152">
        <f ca="1">IF(RegimeExecucao="Global","",ORÇAMENTO!W156)</f>
        <v>52.14</v>
      </c>
      <c r="I156" s="155">
        <f ca="1">ORÇAMENTO!X156</f>
        <v>2721.71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ht="25.5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>F</v>
      </c>
      <c r="D157" s="147" t="str">
        <f ca="1">ORÇAMENTO!O157</f>
        <v>6.1.4.</v>
      </c>
      <c r="E157" s="207" t="str">
        <f t="shared" ca="1" si="24"/>
        <v>COBERTURA EM ESTRUTURA METALICA E COBRIMENTO EM POLICARBONATO, COM VENEZIANAS NAS LATERAIS</v>
      </c>
      <c r="F157" s="208" t="str">
        <f t="shared" ca="1" si="25"/>
        <v>M2</v>
      </c>
      <c r="G157" s="152">
        <f ca="1">IF(RegimeExecucao="Global","",ORÇAMENTO!T157)</f>
        <v>22</v>
      </c>
      <c r="H157" s="152">
        <f ca="1">IF(RegimeExecucao="Global","",ORÇAMENTO!W157)</f>
        <v>254.7</v>
      </c>
      <c r="I157" s="155">
        <f ca="1">ORÇAMENTO!X157</f>
        <v>5603.4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ht="25.5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>F</v>
      </c>
      <c r="D158" s="147" t="str">
        <f ca="1">ORÇAMENTO!O158</f>
        <v>6.1.5.</v>
      </c>
      <c r="E158" s="207" t="str">
        <f t="shared" ca="1" si="24"/>
        <v>RUFO INTERNO/EXTERNO DE CHAPA DE ACO GALVANIZADA NUM 24, CORTE 25 CM (COLETADO CAIXA)</v>
      </c>
      <c r="F158" s="208" t="str">
        <f t="shared" ca="1" si="25"/>
        <v xml:space="preserve">M     </v>
      </c>
      <c r="G158" s="152">
        <f ca="1">IF(RegimeExecucao="Global","",ORÇAMENTO!T158)</f>
        <v>22</v>
      </c>
      <c r="H158" s="152">
        <f ca="1">IF(RegimeExecucao="Global","",ORÇAMENTO!W158)</f>
        <v>21.76</v>
      </c>
      <c r="I158" s="155">
        <f ca="1">ORÇAMENTO!X158</f>
        <v>478.72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ht="25.5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>F</v>
      </c>
      <c r="D159" s="147" t="str">
        <f ca="1">ORÇAMENTO!O159</f>
        <v>6.1.6.</v>
      </c>
      <c r="E159" s="207" t="str">
        <f t="shared" ca="1" si="24"/>
        <v>CALHA QUADRADA DE CHAPA DE ACO GALVANIZADA NUM 24, CORTE 33 CM (COLETADO CAIXA)</v>
      </c>
      <c r="F159" s="208" t="str">
        <f t="shared" ca="1" si="25"/>
        <v xml:space="preserve">M     </v>
      </c>
      <c r="G159" s="152">
        <f ca="1">IF(RegimeExecucao="Global","",ORÇAMENTO!T159)</f>
        <v>12.5</v>
      </c>
      <c r="H159" s="152">
        <f ca="1">IF(RegimeExecucao="Global","",ORÇAMENTO!W159)</f>
        <v>28.42</v>
      </c>
      <c r="I159" s="155">
        <f ca="1">ORÇAMENTO!X159</f>
        <v>355.25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ht="25.5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>F</v>
      </c>
      <c r="D160" s="147" t="str">
        <f ca="1">ORÇAMENTO!O160</f>
        <v>6.1.7.</v>
      </c>
      <c r="E160" s="207" t="str">
        <f t="shared" ca="1" si="24"/>
        <v>ALGEROSA , CHAPA GALVANIZADA 24 , CORTE MININO DE 35CM, INSTALADA</v>
      </c>
      <c r="F160" s="208" t="str">
        <f t="shared" ca="1" si="25"/>
        <v>M</v>
      </c>
      <c r="G160" s="152">
        <f ca="1">IF(RegimeExecucao="Global","",ORÇAMENTO!T160)</f>
        <v>22</v>
      </c>
      <c r="H160" s="152">
        <f ca="1">IF(RegimeExecucao="Global","",ORÇAMENTO!W160)</f>
        <v>31.84</v>
      </c>
      <c r="I160" s="155">
        <f ca="1">ORÇAMENTO!X160</f>
        <v>700.48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>
        <f ca="1">ORÇAMENTO!C168</f>
        <v>1</v>
      </c>
      <c r="B168">
        <f ca="1">ORÇAMENTO!D168</f>
        <v>18</v>
      </c>
      <c r="C168" s="144" t="str">
        <f t="shared" ca="1" si="23"/>
        <v>F</v>
      </c>
      <c r="D168" s="147" t="str">
        <f ca="1">ORÇAMENTO!O168</f>
        <v>7.</v>
      </c>
      <c r="E168" s="207" t="str">
        <f t="shared" ca="1" si="24"/>
        <v>HIDRAULICO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6036.03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>
        <f ca="1">ORÇAMENTO!C169</f>
        <v>2</v>
      </c>
      <c r="B169">
        <f ca="1">ORÇAMENTO!D169</f>
        <v>17</v>
      </c>
      <c r="C169" s="144" t="str">
        <f t="shared" ca="1" si="23"/>
        <v>F</v>
      </c>
      <c r="D169" s="147" t="str">
        <f ca="1">ORÇAMENTO!O169</f>
        <v>7.1.</v>
      </c>
      <c r="E169" s="207" t="str">
        <f t="shared" ca="1" si="24"/>
        <v>(digite a descrição aqui)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6036.03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ht="25.5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>F</v>
      </c>
      <c r="D170" s="147" t="str">
        <f ca="1">ORÇAMENTO!O170</f>
        <v>7.1.1.</v>
      </c>
      <c r="E170" s="207" t="str">
        <f t="shared" ca="1" si="24"/>
        <v>VASO SANITÁRIO SIFONADO COM CAIXA ACOPLADA LOUÇA BRANCA - FORNECIMENTO E INSTALAÇÃO. AF_12/2013</v>
      </c>
      <c r="F170" s="208" t="str">
        <f t="shared" ca="1" si="25"/>
        <v>UN</v>
      </c>
      <c r="G170" s="152">
        <f ca="1">IF(RegimeExecucao="Global","",ORÇAMENTO!T170)</f>
        <v>1</v>
      </c>
      <c r="H170" s="152">
        <f ca="1">IF(RegimeExecucao="Global","",ORÇAMENTO!W170)</f>
        <v>541.34</v>
      </c>
      <c r="I170" s="155">
        <f ca="1">ORÇAMENTO!X170</f>
        <v>541.34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ht="63.75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>F</v>
      </c>
      <c r="D171" s="147" t="str">
        <f ca="1">ORÇAMENTO!O171</f>
        <v>7.1.2.</v>
      </c>
      <c r="E171" s="207" t="str">
        <f t="shared" ca="1" si="24"/>
        <v>LAVATÓRIO LOUÇA BRANCA COM COLUNA, 45 X 55CM OU EQUIVALENTE, PADRÃO MÉDIO, INCLUSO SIFÃO TIPO GARRAFA, VÁLVULA E ENGATE FLEXÍVEL DE 40CM EM METAL CROMADO, COM TORNEIRA CROMADA DE MESA, PADRÃO MÉDIO - FORNECIMENTO E INSTALAÇÃO. AF_12/2013</v>
      </c>
      <c r="F171" s="208" t="str">
        <f t="shared" ca="1" si="25"/>
        <v>UN</v>
      </c>
      <c r="G171" s="152">
        <f ca="1">IF(RegimeExecucao="Global","",ORÇAMENTO!T171)</f>
        <v>1</v>
      </c>
      <c r="H171" s="152">
        <f ca="1">IF(RegimeExecucao="Global","",ORÇAMENTO!W171)</f>
        <v>686.81</v>
      </c>
      <c r="I171" s="155">
        <f ca="1">ORÇAMENTO!X171</f>
        <v>686.81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ht="25.5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>F</v>
      </c>
      <c r="D172" s="147" t="str">
        <f ca="1">ORÇAMENTO!O172</f>
        <v>7.1.3.</v>
      </c>
      <c r="E172" s="207" t="str">
        <f t="shared" ca="1" si="24"/>
        <v>CHUVEIRO COMUM EM PLASTICO BRANCO, COM CANO, 3 TEMPERATURAS, 5500 W (110/220 V)</v>
      </c>
      <c r="F172" s="208" t="str">
        <f t="shared" ca="1" si="25"/>
        <v xml:space="preserve">UN    </v>
      </c>
      <c r="G172" s="152">
        <f ca="1">IF(RegimeExecucao="Global","",ORÇAMENTO!T172)</f>
        <v>5</v>
      </c>
      <c r="H172" s="152">
        <f ca="1">IF(RegimeExecucao="Global","",ORÇAMENTO!W172)</f>
        <v>68.400000000000006</v>
      </c>
      <c r="I172" s="155">
        <f ca="1">ORÇAMENTO!X172</f>
        <v>342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ht="38.25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>F</v>
      </c>
      <c r="D173" s="147" t="str">
        <f ca="1">ORÇAMENTO!O173</f>
        <v>7.1.4.</v>
      </c>
      <c r="E173" s="207" t="str">
        <f t="shared" ca="1" si="24"/>
        <v>RALO SIFONADO, PVC, DN 100 X 40 MM, JUNTA SOLDÁVEL, FORNECIDO E INSTALADO EM RAMAL DE DESCARGA OU EM RAMAL DE ESGOTO SANITÁRIO. AF_12/2014</v>
      </c>
      <c r="F173" s="208" t="str">
        <f t="shared" ca="1" si="25"/>
        <v>UN</v>
      </c>
      <c r="G173" s="152">
        <f ca="1">IF(RegimeExecucao="Global","",ORÇAMENTO!T173)</f>
        <v>7</v>
      </c>
      <c r="H173" s="152">
        <f ca="1">IF(RegimeExecucao="Global","",ORÇAMENTO!W173)</f>
        <v>11.21</v>
      </c>
      <c r="I173" s="155">
        <f ca="1">ORÇAMENTO!X173</f>
        <v>78.47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ht="25.5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>F</v>
      </c>
      <c r="D174" s="147" t="str">
        <f ca="1">ORÇAMENTO!O174</f>
        <v>7.1.5.</v>
      </c>
      <c r="E174" s="207" t="str">
        <f t="shared" ca="1" si="24"/>
        <v>SABONETEIRA PLASTICA TIPO DISPENSER PARA SABONETE LIQUIDO COM RESERVATORIO 800 A 1500 ML</v>
      </c>
      <c r="F174" s="208" t="str">
        <f t="shared" ca="1" si="25"/>
        <v xml:space="preserve">UN    </v>
      </c>
      <c r="G174" s="152">
        <f ca="1">IF(RegimeExecucao="Global","",ORÇAMENTO!T174)</f>
        <v>1</v>
      </c>
      <c r="H174" s="152">
        <f ca="1">IF(RegimeExecucao="Global","",ORÇAMENTO!W174)</f>
        <v>45.15</v>
      </c>
      <c r="I174" s="155">
        <f ca="1">ORÇAMENTO!X174</f>
        <v>45.15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ht="25.5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>F</v>
      </c>
      <c r="D175" s="147" t="str">
        <f ca="1">ORÇAMENTO!O175</f>
        <v>7.1.6.</v>
      </c>
      <c r="E175" s="207" t="str">
        <f t="shared" ca="1" si="24"/>
        <v>REMOÇÃO DE LOUÇAS, DE FORMA MANUAL, SEM REAPROVEITAMENTO. AF_12/2017</v>
      </c>
      <c r="F175" s="208" t="str">
        <f t="shared" ca="1" si="25"/>
        <v>UN</v>
      </c>
      <c r="G175" s="152">
        <f ca="1">IF(RegimeExecucao="Global","",ORÇAMENTO!T175)</f>
        <v>1</v>
      </c>
      <c r="H175" s="152">
        <f ca="1">IF(RegimeExecucao="Global","",ORÇAMENTO!W175)</f>
        <v>12.17</v>
      </c>
      <c r="I175" s="155">
        <f ca="1">ORÇAMENTO!X175</f>
        <v>12.17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>F</v>
      </c>
      <c r="D176" s="147" t="str">
        <f ca="1">ORÇAMENTO!O176</f>
        <v>7.1.7.</v>
      </c>
      <c r="E176" s="207" t="str">
        <f t="shared" ca="1" si="24"/>
        <v>BOX EM VIDRO TEMPERADO 8MM INCLUSIVE GUARNIÇÕES</v>
      </c>
      <c r="F176" s="208" t="str">
        <f t="shared" ca="1" si="25"/>
        <v>M2</v>
      </c>
      <c r="G176" s="152">
        <f ca="1">IF(RegimeExecucao="Global","",ORÇAMENTO!T176)</f>
        <v>1.85</v>
      </c>
      <c r="H176" s="152">
        <f ca="1">IF(RegimeExecucao="Global","",ORÇAMENTO!W176)</f>
        <v>573.08000000000004</v>
      </c>
      <c r="I176" s="155">
        <f ca="1">ORÇAMENTO!X176</f>
        <v>1060.2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ht="38.25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>F</v>
      </c>
      <c r="D177" s="147" t="str">
        <f ca="1">ORÇAMENTO!O177</f>
        <v>7.1.8.</v>
      </c>
      <c r="E177" s="207" t="str">
        <f t="shared" ca="1" si="24"/>
        <v>PONTO DE CONSUMO TERMINAL DE ÁGUA FRIA (SUBRAMAL) COM TUBULAÇÃO DE PVC, DN 25 MM, INSTALADO EM RAMAL DE ÁGUA, INCLUSOS RASGO E CHUMBAMENTO EM ALVENARIA. AF_12/2014</v>
      </c>
      <c r="F177" s="208" t="str">
        <f t="shared" ca="1" si="25"/>
        <v>UN</v>
      </c>
      <c r="G177" s="152">
        <f ca="1">IF(RegimeExecucao="Global","",ORÇAMENTO!T177)</f>
        <v>7</v>
      </c>
      <c r="H177" s="152">
        <f ca="1">IF(RegimeExecucao="Global","",ORÇAMENTO!W177)</f>
        <v>140.87</v>
      </c>
      <c r="I177" s="155">
        <f ca="1">ORÇAMENTO!X177</f>
        <v>986.09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ht="25.5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>F</v>
      </c>
      <c r="D178" s="147" t="str">
        <f ca="1">ORÇAMENTO!O178</f>
        <v>7.1.9.</v>
      </c>
      <c r="E178" s="207" t="str">
        <f t="shared" ca="1" si="24"/>
        <v>CAIXA DE INSPEÇÃO EM CONCRETO PRÉ-MOLDADO DN 60CM COM TAMPA H= 60CM - FORNECIMENTO E INSTALACAO</v>
      </c>
      <c r="F178" s="208" t="str">
        <f t="shared" ca="1" si="25"/>
        <v>UN</v>
      </c>
      <c r="G178" s="152">
        <f ca="1">IF(RegimeExecucao="Global","",ORÇAMENTO!T178)</f>
        <v>2</v>
      </c>
      <c r="H178" s="152">
        <f ca="1">IF(RegimeExecucao="Global","",ORÇAMENTO!W178)</f>
        <v>227.28</v>
      </c>
      <c r="I178" s="155">
        <f ca="1">ORÇAMENTO!X178</f>
        <v>454.56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ht="25.5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>F</v>
      </c>
      <c r="D179" s="147" t="str">
        <f ca="1">ORÇAMENTO!O179</f>
        <v>7.1.10.</v>
      </c>
      <c r="E179" s="207" t="str">
        <f t="shared" ca="1" si="24"/>
        <v>TUBO, PVC, SOLDÁVEL, DN 25MM, INSTALADO EM RAMAL OU SUB-RAMAL DE ÁGUA - FORNECIMENTO E INSTALAÇÃO. AF_12/2014</v>
      </c>
      <c r="F179" s="208" t="str">
        <f t="shared" ca="1" si="25"/>
        <v>M</v>
      </c>
      <c r="G179" s="152">
        <f ca="1">IF(RegimeExecucao="Global","",ORÇAMENTO!T179)</f>
        <v>12</v>
      </c>
      <c r="H179" s="152">
        <f ca="1">IF(RegimeExecucao="Global","",ORÇAMENTO!W179)</f>
        <v>21.67</v>
      </c>
      <c r="I179" s="155">
        <f ca="1">ORÇAMENTO!X179</f>
        <v>260.04000000000002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ht="38.25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>F</v>
      </c>
      <c r="D180" s="147" t="str">
        <f ca="1">ORÇAMENTO!O180</f>
        <v>7.1.11.</v>
      </c>
      <c r="E180" s="207" t="str">
        <f t="shared" ca="1" si="24"/>
        <v>TUBO PVC, SERIE NORMAL, ESGOTO PREDIAL, DN 100 MM, FORNECIDO E INSTALADO EM RAMAL DE DESCARGA OU RAMAL DE ESGOTO SANITÁRIO. AF_12/2014</v>
      </c>
      <c r="F180" s="208" t="str">
        <f t="shared" ca="1" si="25"/>
        <v>M</v>
      </c>
      <c r="G180" s="152">
        <f ca="1">IF(RegimeExecucao="Global","",ORÇAMENTO!T180)</f>
        <v>18</v>
      </c>
      <c r="H180" s="152">
        <f ca="1">IF(RegimeExecucao="Global","",ORÇAMENTO!W180)</f>
        <v>54.28</v>
      </c>
      <c r="I180" s="155">
        <f ca="1">ORÇAMENTO!X180</f>
        <v>977.04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ht="25.5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>F</v>
      </c>
      <c r="D181" s="147" t="str">
        <f ca="1">ORÇAMENTO!O181</f>
        <v>7.1.12.</v>
      </c>
      <c r="E181" s="207" t="str">
        <f t="shared" ca="1" si="24"/>
        <v>TUBO, PVC, SOLDÁVEL, DN 50MM, INSTALADO EM PRUMADA DE ÁGUA - FORNECIMENTO E INSTALAÇÃO. AF_12/2014</v>
      </c>
      <c r="F181" s="208" t="str">
        <f t="shared" ca="1" si="25"/>
        <v>M</v>
      </c>
      <c r="G181" s="152">
        <f ca="1">IF(RegimeExecucao="Global","",ORÇAMENTO!T181)</f>
        <v>6</v>
      </c>
      <c r="H181" s="152">
        <f ca="1">IF(RegimeExecucao="Global","",ORÇAMENTO!W181)</f>
        <v>14.2</v>
      </c>
      <c r="I181" s="155">
        <f ca="1">ORÇAMENTO!X181</f>
        <v>85.2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ht="38.25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>F</v>
      </c>
      <c r="D182" s="147" t="str">
        <f ca="1">ORÇAMENTO!O182</f>
        <v>7.1.13.</v>
      </c>
      <c r="E182" s="207" t="str">
        <f t="shared" ca="1" si="24"/>
        <v>TUBO PVC, SERIE NORMAL, ESGOTO PREDIAL, DN 50 MM, FORNECIDO E INSTALADO EM RAMAL DE DESCARGA OU RAMAL DE ESGOTO SANITÁRIO. AF_12/2014</v>
      </c>
      <c r="F182" s="208" t="str">
        <f t="shared" ca="1" si="25"/>
        <v>M</v>
      </c>
      <c r="G182" s="152">
        <f ca="1">IF(RegimeExecucao="Global","",ORÇAMENTO!T182)</f>
        <v>10</v>
      </c>
      <c r="H182" s="152">
        <f ca="1">IF(RegimeExecucao="Global","",ORÇAMENTO!W182)</f>
        <v>27.66</v>
      </c>
      <c r="I182" s="155">
        <f ca="1">ORÇAMENTO!X182</f>
        <v>276.60000000000002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>F</v>
      </c>
      <c r="D183" s="147" t="str">
        <f ca="1">ORÇAMENTO!O183</f>
        <v>7.1.14.</v>
      </c>
      <c r="E183" s="207" t="str">
        <f t="shared" ca="1" si="24"/>
        <v>KIT DE ACESSORIOS PARA BANHEIRO EM METAL CROMADO, 5 PECAS, INCLUSO FIXAÇÃO. AF_10/2016</v>
      </c>
      <c r="F183" s="208" t="str">
        <f t="shared" ca="1" si="25"/>
        <v>UN</v>
      </c>
      <c r="G183" s="152">
        <f ca="1">IF(RegimeExecucao="Global","",ORÇAMENTO!T183)</f>
        <v>1</v>
      </c>
      <c r="H183" s="152">
        <f ca="1">IF(RegimeExecucao="Global","",ORÇAMENTO!W183)</f>
        <v>170.57</v>
      </c>
      <c r="I183" s="155">
        <f ca="1">ORÇAMENTO!X183</f>
        <v>170.57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>F</v>
      </c>
      <c r="D184" s="147" t="str">
        <f ca="1">ORÇAMENTO!O184</f>
        <v>7.1.15.</v>
      </c>
      <c r="E184" s="207" t="str">
        <f t="shared" ca="1" si="24"/>
        <v>PAPELEIRA DE PAREDE EM METAL CROMADO SEM TAMPA, INCLUSO FIXAÇÃO. AF_10/2016</v>
      </c>
      <c r="F184" s="208" t="str">
        <f t="shared" ca="1" si="25"/>
        <v>UN</v>
      </c>
      <c r="G184" s="152">
        <f ca="1">IF(RegimeExecucao="Global","",ORÇAMENTO!T184)</f>
        <v>1</v>
      </c>
      <c r="H184" s="152">
        <f ca="1">IF(RegimeExecucao="Global","",ORÇAMENTO!W184)</f>
        <v>59.79</v>
      </c>
      <c r="I184" s="155">
        <f ca="1">ORÇAMENTO!X184</f>
        <v>59.79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>
        <f ca="1">ORÇAMENTO!C186</f>
        <v>1</v>
      </c>
      <c r="B186">
        <f ca="1">ORÇAMENTO!D186</f>
        <v>16</v>
      </c>
      <c r="C186" s="144" t="str">
        <f t="shared" ca="1" si="23"/>
        <v>F</v>
      </c>
      <c r="D186" s="147" t="str">
        <f ca="1">ORÇAMENTO!O186</f>
        <v>8.</v>
      </c>
      <c r="E186" s="207" t="str">
        <f t="shared" ca="1" si="24"/>
        <v>ELETRICO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12629.54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>
        <f ca="1">ORÇAMENTO!C187</f>
        <v>2</v>
      </c>
      <c r="B187">
        <f ca="1">ORÇAMENTO!D187</f>
        <v>15</v>
      </c>
      <c r="C187" s="144" t="str">
        <f t="shared" ca="1" si="23"/>
        <v>F</v>
      </c>
      <c r="D187" s="147" t="str">
        <f ca="1">ORÇAMENTO!O187</f>
        <v>8.1.</v>
      </c>
      <c r="E187" s="207" t="str">
        <f t="shared" ca="1" si="24"/>
        <v>(digite a descrição aqui)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12629.54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ht="5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>F</v>
      </c>
      <c r="D188" s="147" t="str">
        <f ca="1">ORÇAMENTO!O188</f>
        <v>8.1.1.</v>
      </c>
      <c r="E188" s="207" t="str">
        <f t="shared" ca="1" si="24"/>
        <v>PONTO DE ILUMINAÇÃO RESIDENCIAL INCLUINDO INTERRUPTOR PARALELO, CAIXA ELÉTRICA, ELETRODUTO, CABO, RASGO, QUEBRA E CHUMBAMENTO (EXCLUINDO LUMINÁRIA E LÂMPADA). AF_01/2016</v>
      </c>
      <c r="F188" s="208" t="str">
        <f t="shared" ca="1" si="25"/>
        <v>UN</v>
      </c>
      <c r="G188" s="152">
        <f ca="1">IF(RegimeExecucao="Global","",ORÇAMENTO!T188)</f>
        <v>5</v>
      </c>
      <c r="H188" s="152">
        <f ca="1">IF(RegimeExecucao="Global","",ORÇAMENTO!W188)</f>
        <v>157.24</v>
      </c>
      <c r="I188" s="155">
        <f ca="1">ORÇAMENTO!X188</f>
        <v>786.2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ht="38.25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>F</v>
      </c>
      <c r="D189" s="147" t="str">
        <f ca="1">ORÇAMENTO!O189</f>
        <v>8.1.2.</v>
      </c>
      <c r="E189" s="207" t="str">
        <f t="shared" ca="1" si="24"/>
        <v>PONTO DE TOMADA RESIDENCIAL INCLUINDO TOMADA 20A/250V, CAIXA ELÉTRICA, ELETRODUTO, CABO, RASGO, QUEBRA E CHUMBAMENTO. AF_01/2016</v>
      </c>
      <c r="F189" s="208" t="str">
        <f t="shared" ca="1" si="25"/>
        <v>UN</v>
      </c>
      <c r="G189" s="152">
        <f ca="1">IF(RegimeExecucao="Global","",ORÇAMENTO!T189)</f>
        <v>35</v>
      </c>
      <c r="H189" s="152">
        <f ca="1">IF(RegimeExecucao="Global","",ORÇAMENTO!W189)</f>
        <v>171.73</v>
      </c>
      <c r="I189" s="155">
        <f ca="1">ORÇAMENTO!X189</f>
        <v>6010.55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ht="25.5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>F</v>
      </c>
      <c r="D190" s="147" t="str">
        <f ca="1">ORÇAMENTO!O190</f>
        <v>8.1.3.</v>
      </c>
      <c r="E190" s="207" t="str">
        <f t="shared" ca="1" si="24"/>
        <v>LUMINARIA DE TETO PLAFON/PLAFONIER EM PLASTICO COM BASE E27, POTENCIA MAXIMA 60 W (NAO INCLUI LAMPADA)</v>
      </c>
      <c r="F190" s="208" t="str">
        <f t="shared" ca="1" si="25"/>
        <v xml:space="preserve">UN    </v>
      </c>
      <c r="G190" s="152">
        <f ca="1">IF(RegimeExecucao="Global","",ORÇAMENTO!T190)</f>
        <v>5</v>
      </c>
      <c r="H190" s="152">
        <f ca="1">IF(RegimeExecucao="Global","",ORÇAMENTO!W190)</f>
        <v>3.77</v>
      </c>
      <c r="I190" s="155">
        <f ca="1">ORÇAMENTO!X190</f>
        <v>18.850000000000001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ht="25.5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>F</v>
      </c>
      <c r="D191" s="147" t="str">
        <f ca="1">ORÇAMENTO!O191</f>
        <v>8.1.4.</v>
      </c>
      <c r="E191" s="207" t="str">
        <f t="shared" ca="1" si="24"/>
        <v>LAMPADA FLUORESCENTE ESPIRAL BRANCA 45 W, BASE E27 (127/220 V)</v>
      </c>
      <c r="F191" s="208" t="str">
        <f t="shared" ca="1" si="25"/>
        <v xml:space="preserve">UN    </v>
      </c>
      <c r="G191" s="152">
        <f ca="1">IF(RegimeExecucao="Global","",ORÇAMENTO!T191)</f>
        <v>5</v>
      </c>
      <c r="H191" s="152">
        <f ca="1">IF(RegimeExecucao="Global","",ORÇAMENTO!W191)</f>
        <v>59.13</v>
      </c>
      <c r="I191" s="155">
        <f ca="1">ORÇAMENTO!X191</f>
        <v>295.64999999999998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ht="25.5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>F</v>
      </c>
      <c r="D192" s="147" t="str">
        <f ca="1">ORÇAMENTO!O192</f>
        <v>8.1.5.</v>
      </c>
      <c r="E192" s="207" t="str">
        <f t="shared" ca="1" si="24"/>
        <v>ESPELHO / PLACA CEGA 4" X 2", PARA INSTALACAO DE TOMADAS E INTERRUPTORES</v>
      </c>
      <c r="F192" s="208" t="str">
        <f t="shared" ca="1" si="25"/>
        <v xml:space="preserve">UN    </v>
      </c>
      <c r="G192" s="152">
        <f ca="1">IF(RegimeExecucao="Global","",ORÇAMENTO!T192)</f>
        <v>30</v>
      </c>
      <c r="H192" s="152">
        <f ca="1">IF(RegimeExecucao="Global","",ORÇAMENTO!W192)</f>
        <v>2.34</v>
      </c>
      <c r="I192" s="155">
        <f ca="1">ORÇAMENTO!X192</f>
        <v>70.2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ht="25.5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>F</v>
      </c>
      <c r="D193" s="147" t="str">
        <f ca="1">ORÇAMENTO!O193</f>
        <v>8.1.6.</v>
      </c>
      <c r="E193" s="207" t="str">
        <f t="shared" ca="1" si="24"/>
        <v xml:space="preserve"> EXAUSTOR + 4 M  DE TUBO FLEXIVEL E GRADE EXTERNA, COM LIGAÇÃO NO INTERRUPTOR DE ENERGIA, INCLUINDO INSTALAÇÃO</v>
      </c>
      <c r="F193" s="208" t="str">
        <f t="shared" ca="1" si="25"/>
        <v>UNIDADE</v>
      </c>
      <c r="G193" s="152">
        <f ca="1">IF(RegimeExecucao="Global","",ORÇAMENTO!T193)</f>
        <v>8</v>
      </c>
      <c r="H193" s="152">
        <f ca="1">IF(RegimeExecucao="Global","",ORÇAMENTO!W193)</f>
        <v>318.38</v>
      </c>
      <c r="I193" s="155">
        <f ca="1">ORÇAMENTO!X193</f>
        <v>2547.04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ht="38.25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>F</v>
      </c>
      <c r="D194" s="147" t="str">
        <f ca="1">ORÇAMENTO!O194</f>
        <v>8.1.7.</v>
      </c>
      <c r="E194" s="207" t="str">
        <f t="shared" ca="1" si="24"/>
        <v>ELETRODUTO RÍGIDO ROSCÁVEL, PVC, DN 25 MM (3/4"), PARA CIRCUITOS TERMINAIS, INSTALADO EM FORRO - FORNECIMENTO E INSTALAÇÃO. AF_12/2015</v>
      </c>
      <c r="F194" s="208" t="str">
        <f t="shared" ca="1" si="25"/>
        <v>M</v>
      </c>
      <c r="G194" s="152">
        <f ca="1">IF(RegimeExecucao="Global","",ORÇAMENTO!T194)</f>
        <v>25</v>
      </c>
      <c r="H194" s="152">
        <f ca="1">IF(RegimeExecucao="Global","",ORÇAMENTO!W194)</f>
        <v>10.26</v>
      </c>
      <c r="I194" s="155">
        <f ca="1">ORÇAMENTO!X194</f>
        <v>256.5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ht="25.5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>F</v>
      </c>
      <c r="D195" s="147" t="str">
        <f ca="1">ORÇAMENTO!O195</f>
        <v>8.1.8.</v>
      </c>
      <c r="E195" s="207" t="str">
        <f t="shared" ca="1" si="24"/>
        <v>FIO DE COBRE, SOLIDO, CLASSE 1, ISOLACAO EM PVC/A, ANTICHAMA BWF-B, 450/750V, SECAO NOMINAL 4 MM2</v>
      </c>
      <c r="F195" s="208" t="str">
        <f t="shared" ca="1" si="25"/>
        <v xml:space="preserve">M     </v>
      </c>
      <c r="G195" s="152">
        <f ca="1">IF(RegimeExecucao="Global","",ORÇAMENTO!T195)</f>
        <v>40</v>
      </c>
      <c r="H195" s="152">
        <f ca="1">IF(RegimeExecucao="Global","",ORÇAMENTO!W195)</f>
        <v>2.89</v>
      </c>
      <c r="I195" s="155">
        <f ca="1">ORÇAMENTO!X195</f>
        <v>115.6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ht="25.5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>F</v>
      </c>
      <c r="D196" s="147" t="str">
        <f ca="1">ORÇAMENTO!O196</f>
        <v>8.1.9.</v>
      </c>
      <c r="E196" s="207" t="str">
        <f t="shared" ca="1" si="24"/>
        <v>FIO DE COBRE, SOLIDO, CLASSE 1, ISOLACAO EM PVC/A, ANTICHAMA BWF-B, 450/750V, SECAO NOMINAL 2,5 MM2</v>
      </c>
      <c r="F196" s="208" t="str">
        <f t="shared" ca="1" si="25"/>
        <v xml:space="preserve">M     </v>
      </c>
      <c r="G196" s="152">
        <f ca="1">IF(RegimeExecucao="Global","",ORÇAMENTO!T196)</f>
        <v>60</v>
      </c>
      <c r="H196" s="152">
        <f ca="1">IF(RegimeExecucao="Global","",ORÇAMENTO!W196)</f>
        <v>1.68</v>
      </c>
      <c r="I196" s="155">
        <f ca="1">ORÇAMENTO!X196</f>
        <v>100.8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ht="25.5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>F</v>
      </c>
      <c r="D197" s="147" t="str">
        <f ca="1">ORÇAMENTO!O197</f>
        <v>8.1.10.</v>
      </c>
      <c r="E197" s="207" t="str">
        <f t="shared" ca="1" si="24"/>
        <v>FIO DE COBRE, SOLIDO, CLASSE 1, ISOLACAO EM PVC/A, ANTICHAMA BWF-B, 450/750V, SECAO NOMINAL 6 MM2</v>
      </c>
      <c r="F197" s="208" t="str">
        <f t="shared" ca="1" si="25"/>
        <v xml:space="preserve">M     </v>
      </c>
      <c r="G197" s="152">
        <f ca="1">IF(RegimeExecucao="Global","",ORÇAMENTO!T197)</f>
        <v>50</v>
      </c>
      <c r="H197" s="152">
        <f ca="1">IF(RegimeExecucao="Global","",ORÇAMENTO!W197)</f>
        <v>3.99</v>
      </c>
      <c r="I197" s="155">
        <f ca="1">ORÇAMENTO!X197</f>
        <v>199.5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>F</v>
      </c>
      <c r="D198" s="147" t="str">
        <f ca="1">ORÇAMENTO!O198</f>
        <v>8.1.11.</v>
      </c>
      <c r="E198" s="207" t="str">
        <f t="shared" ca="1" si="24"/>
        <v xml:space="preserve">INSTALAÇÃO DE CHUVEIRO, INCLUINDO RASGO, TUBULAÇÃO ÁGUA, INSTALAÇÃO DE ENERGIA </v>
      </c>
      <c r="F198" s="208" t="str">
        <f t="shared" ca="1" si="25"/>
        <v>M2</v>
      </c>
      <c r="G198" s="152">
        <f ca="1">IF(RegimeExecucao="Global","",ORÇAMENTO!T198)</f>
        <v>5</v>
      </c>
      <c r="H198" s="152">
        <f ca="1">IF(RegimeExecucao="Global","",ORÇAMENTO!W198)</f>
        <v>445.73</v>
      </c>
      <c r="I198" s="155">
        <f ca="1">ORÇAMENTO!X198</f>
        <v>2228.65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>
        <f ca="1">ORÇAMENTO!C202</f>
        <v>1</v>
      </c>
      <c r="B202">
        <f ca="1">ORÇAMENTO!D202</f>
        <v>64</v>
      </c>
      <c r="C202" s="144" t="str">
        <f t="shared" ca="1" si="23"/>
        <v>F</v>
      </c>
      <c r="D202" s="147" t="str">
        <f ca="1">ORÇAMENTO!O202</f>
        <v>9.</v>
      </c>
      <c r="E202" s="207" t="str">
        <f t="shared" ca="1" si="24"/>
        <v>SERVIÇOS FINAIS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1910.25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>
        <f ca="1">ORÇAMENTO!C203</f>
        <v>2</v>
      </c>
      <c r="B203">
        <f ca="1">ORÇAMENTO!D203</f>
        <v>63</v>
      </c>
      <c r="C203" s="144" t="str">
        <f t="shared" ca="1" si="23"/>
        <v>F</v>
      </c>
      <c r="D203" s="147" t="str">
        <f ca="1">ORÇAMENTO!O203</f>
        <v>9.1.</v>
      </c>
      <c r="E203" s="207" t="str">
        <f t="shared" ca="1" si="24"/>
        <v>(digite a descrição aqui)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1910.25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ht="25.5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>F</v>
      </c>
      <c r="D204" s="147" t="str">
        <f ca="1">ORÇAMENTO!O204</f>
        <v>9.1.1.</v>
      </c>
      <c r="E204" s="207" t="str">
        <f t="shared" ca="1" si="24"/>
        <v>LIMPEZA FINAL DE OBRA, INTERNA EXTERNA, INCLUINDO LIMPEZA DE VIDRO , PAREDESE TETO</v>
      </c>
      <c r="F204" s="208" t="str">
        <f t="shared" ca="1" si="25"/>
        <v>UNIDADE</v>
      </c>
      <c r="G204" s="152">
        <f ca="1">IF(RegimeExecucao="Global","",ORÇAMENTO!T204)</f>
        <v>1</v>
      </c>
      <c r="H204" s="152">
        <f ca="1">IF(RegimeExecucao="Global","",ORÇAMENTO!W204)</f>
        <v>1910.25</v>
      </c>
      <c r="I204" s="155">
        <f ca="1">ORÇAMENTO!X204</f>
        <v>1910.25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>
        <f t="shared" si="35"/>
        <v>0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CÉU AZUL-PR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>
        <f t="array" ref="K278:K281">Import.RespFiscalização</f>
        <v>0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43790</v>
      </c>
      <c r="J279" s="95" t="s">
        <v>126</v>
      </c>
      <c r="K279" s="354">
        <v>0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>
        <v>0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440</v>
      </c>
      <c r="J3" s="683"/>
      <c r="K3" s="683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MUNICIPIO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Ampliação e adequação do  cemei Raio de Sol</v>
      </c>
      <c r="F7" s="686"/>
      <c r="G7" s="686"/>
      <c r="H7" s="686"/>
      <c r="I7" s="800" t="str">
        <f>Import.Município</f>
        <v>CÉU AZUL-PR</v>
      </c>
      <c r="J7" s="800"/>
      <c r="K7" s="800"/>
      <c r="L7" s="800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Normal</v>
      </c>
      <c r="H10" s="688"/>
      <c r="I10" s="456">
        <f>DATE(YEAR($L$35),MONTH($L$35),1)</f>
        <v>43770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2"/>
      <c r="M10" s="458">
        <f ca="1">QCI!L10</f>
        <v>0</v>
      </c>
      <c r="N10" s="365">
        <f ca="1">QCI!M10</f>
        <v>-183222.38999999998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10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serviços iniciais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2862.23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11</v>
      </c>
      <c r="B15">
        <f ca="1">IF(ISERROR($A15),NA(),OFFSET(ORÇAMENTO!$D$15,$A15,0))</f>
        <v>10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piso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17228.599999999999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>
        <f ca="1">MATCH(E16,ORÇAMENTO!$E$15:$E$266,0)-1</f>
        <v>21</v>
      </c>
      <c r="B16">
        <f ca="1">IF(ISERROR($A16),NA(),OFFSET(ORÇAMENTO!$D$15,$A16,0))</f>
        <v>16</v>
      </c>
      <c r="C16" t="str">
        <f ca="1">QCI!B16</f>
        <v>Automático</v>
      </c>
      <c r="D16" t="str">
        <f t="shared" ca="1" si="0"/>
        <v>F</v>
      </c>
      <c r="E16" s="461">
        <f>QCI!D16</f>
        <v>3</v>
      </c>
      <c r="F16" s="462" t="str">
        <f ca="1">QCI!G16</f>
        <v>demolições e retiradas</v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>LOTE 1</v>
      </c>
      <c r="K16" s="467">
        <f t="shared" ca="1" si="1"/>
        <v>1</v>
      </c>
      <c r="L16" s="468">
        <f ca="1">QCI!$O16</f>
        <v>13417.68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>
        <f ca="1">MATCH(E17,ORÇAMENTO!$E$15:$E$266,0)-1</f>
        <v>37</v>
      </c>
      <c r="B17">
        <f ca="1">IF(ISERROR($A17),NA(),OFFSET(ORÇAMENTO!$D$15,$A17,0))</f>
        <v>10</v>
      </c>
      <c r="C17" t="str">
        <f ca="1">QCI!B17</f>
        <v>Automático</v>
      </c>
      <c r="D17" t="str">
        <f t="shared" ca="1" si="0"/>
        <v>F</v>
      </c>
      <c r="E17" s="461">
        <f>QCI!D17</f>
        <v>4</v>
      </c>
      <c r="F17" s="462" t="str">
        <f ca="1">QCI!G17</f>
        <v>ESQUADRIAS</v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>LOTE 1</v>
      </c>
      <c r="K17" s="467">
        <f t="shared" ca="1" si="1"/>
        <v>1</v>
      </c>
      <c r="L17" s="468">
        <f ca="1">QCI!$O17</f>
        <v>40008.07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>
        <f ca="1">MATCH(E18,ORÇAMENTO!$E$15:$E$266,0)-1</f>
        <v>47</v>
      </c>
      <c r="B18">
        <f ca="1">IF(ISERROR($A18),NA(),OFFSET(ORÇAMENTO!$D$15,$A18,0))</f>
        <v>90</v>
      </c>
      <c r="C18" t="str">
        <f ca="1">QCI!B18</f>
        <v>Automático</v>
      </c>
      <c r="D18" t="str">
        <f t="shared" ca="1" si="0"/>
        <v>F</v>
      </c>
      <c r="E18" s="461">
        <f>QCI!D18</f>
        <v>5</v>
      </c>
      <c r="F18" s="462" t="str">
        <f ca="1">QCI!G18</f>
        <v>fundações rasas, viga baldrame, pilares, vigas e paredes</v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>LOTE 1</v>
      </c>
      <c r="K18" s="467">
        <f t="shared" ca="1" si="1"/>
        <v>1</v>
      </c>
      <c r="L18" s="468">
        <f ca="1">QCI!$O18</f>
        <v>73742.69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>
        <f ca="1">MATCH(E19,ORÇAMENTO!$E$15:$E$266,0)-1</f>
        <v>137</v>
      </c>
      <c r="B19">
        <f ca="1">IF(ISERROR($A19),NA(),OFFSET(ORÇAMENTO!$D$15,$A19,0))</f>
        <v>16</v>
      </c>
      <c r="C19" t="str">
        <f ca="1">QCI!B19</f>
        <v>Automático</v>
      </c>
      <c r="D19" t="str">
        <f t="shared" ca="1" si="0"/>
        <v>F</v>
      </c>
      <c r="E19" s="461">
        <f>QCI!D19</f>
        <v>6</v>
      </c>
      <c r="F19" s="462" t="str">
        <f ca="1">QCI!G19</f>
        <v>coberturas</v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>LOTE 1</v>
      </c>
      <c r="K19" s="467">
        <f t="shared" ca="1" si="1"/>
        <v>1</v>
      </c>
      <c r="L19" s="468">
        <f ca="1">QCI!$O19</f>
        <v>15387.3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>
        <f ca="1">MATCH(E20,ORÇAMENTO!$E$15:$E$266,0)-1</f>
        <v>153</v>
      </c>
      <c r="B20">
        <f ca="1">IF(ISERROR($A20),NA(),OFFSET(ORÇAMENTO!$D$15,$A20,0))</f>
        <v>18</v>
      </c>
      <c r="C20" t="str">
        <f ca="1">QCI!B20</f>
        <v>Automático</v>
      </c>
      <c r="D20" t="str">
        <f t="shared" ca="1" si="0"/>
        <v>F</v>
      </c>
      <c r="E20" s="461">
        <f>QCI!D20</f>
        <v>7</v>
      </c>
      <c r="F20" s="462" t="str">
        <f ca="1">QCI!G20</f>
        <v>HIDRAULICO</v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>LOTE 1</v>
      </c>
      <c r="K20" s="467">
        <f t="shared" ca="1" si="1"/>
        <v>1</v>
      </c>
      <c r="L20" s="468">
        <f ca="1">QCI!$O20</f>
        <v>6036.03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>
        <f ca="1">MATCH(E21,ORÇAMENTO!$E$15:$E$266,0)-1</f>
        <v>171</v>
      </c>
      <c r="B21">
        <f ca="1">IF(ISERROR($A21),NA(),OFFSET(ORÇAMENTO!$D$15,$A21,0))</f>
        <v>16</v>
      </c>
      <c r="C21" t="str">
        <f ca="1">QCI!B21</f>
        <v>Automático</v>
      </c>
      <c r="D21" t="str">
        <f t="shared" ca="1" si="0"/>
        <v>F</v>
      </c>
      <c r="E21" s="461">
        <f>QCI!D21</f>
        <v>8</v>
      </c>
      <c r="F21" s="462" t="str">
        <f ca="1">QCI!G21</f>
        <v>ELETRICO</v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>LOTE 1</v>
      </c>
      <c r="K21" s="467">
        <f t="shared" ca="1" si="1"/>
        <v>1</v>
      </c>
      <c r="L21" s="468">
        <f ca="1">QCI!$O21</f>
        <v>12629.54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>
        <f ca="1">MATCH(E22,ORÇAMENTO!$E$15:$E$266,0)-1</f>
        <v>187</v>
      </c>
      <c r="B22">
        <f ca="1">IF(ISERROR($A22),NA(),OFFSET(ORÇAMENTO!$D$15,$A22,0))</f>
        <v>64</v>
      </c>
      <c r="C22" t="str">
        <f ca="1">QCI!B22</f>
        <v>Automático</v>
      </c>
      <c r="D22" t="str">
        <f t="shared" ca="1" si="0"/>
        <v>F</v>
      </c>
      <c r="E22" s="461">
        <f>QCI!D22</f>
        <v>9</v>
      </c>
      <c r="F22" s="462" t="str">
        <f ca="1">QCI!G22</f>
        <v>SERVIÇOS FINAIS</v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>LOTE 1</v>
      </c>
      <c r="K22" s="467">
        <f t="shared" ca="1" si="1"/>
        <v>1</v>
      </c>
      <c r="L22" s="468">
        <f ca="1">QCI!$O22</f>
        <v>1910.25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183222.38999999998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183222.38999999998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CÉU AZUL-PR</v>
      </c>
      <c r="F35" s="705"/>
      <c r="G35" s="705"/>
      <c r="I35" s="509"/>
      <c r="J35" s="101"/>
      <c r="L35" s="715">
        <f>DADOS!$F$25</f>
        <v>43788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GERMANO BONAMIGO</v>
      </c>
      <c r="L40" s="95" t="s">
        <v>107</v>
      </c>
      <c r="M40" s="784">
        <f>IF(CAIXA.Modo,BM!X278,DADOS!F50)</f>
        <v>0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 xml:space="preserve">PREFEITO </v>
      </c>
      <c r="L41" s="95" t="str">
        <f>IF(CAIXA.Modo,"Matrícula:","Profissão:")</f>
        <v>Profissão:</v>
      </c>
      <c r="M41" s="784">
        <f>IF(CAIXA.Modo,BM!X279,DADOS!F51)</f>
        <v>0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>
        <f>IF(CAIXA.Modo,BM!X280,DADOS!F52)</f>
        <v>0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183222.38999999998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CÉU AZUL-PR, 19 de novembro de 2019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 t="str">
        <f>Import.DescLote</f>
        <v>lotes 04 e 05 quadra 13 , bairro são cristovao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183222.38999999998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183222.38999999998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GERMANO BONAMIGO</v>
      </c>
      <c r="C54" s="804"/>
      <c r="D54" s="804"/>
      <c r="E54" s="804"/>
      <c r="F54" s="804"/>
      <c r="G54" s="804"/>
    </row>
    <row r="55" spans="2:7" x14ac:dyDescent="0.2">
      <c r="B55" s="804" t="str">
        <f>DADOS!$F$29</f>
        <v xml:space="preserve">PREFEITO 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Francielly</cp:lastModifiedBy>
  <cp:revision>5</cp:revision>
  <cp:lastPrinted>2019-11-21T18:09:47Z</cp:lastPrinted>
  <dcterms:created xsi:type="dcterms:W3CDTF">1997-01-10T22:22:50Z</dcterms:created>
  <dcterms:modified xsi:type="dcterms:W3CDTF">2019-11-21T18:11:37Z</dcterms:modified>
</cp:coreProperties>
</file>